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HG\PROYECTOS\JHG\Plan y diseño\"/>
    </mc:Choice>
  </mc:AlternateContent>
  <xr:revisionPtr revIDLastSave="0" documentId="8_{6506F87B-E06C-415D-9585-8DA114D777E2}" xr6:coauthVersionLast="46" xr6:coauthVersionMax="46" xr10:uidLastSave="{00000000-0000-0000-0000-000000000000}"/>
  <bookViews>
    <workbookView xWindow="216" yWindow="348" windowWidth="22560" windowHeight="12192" xr2:uid="{00000000-000D-0000-FFFF-FFFF00000000}"/>
  </bookViews>
  <sheets>
    <sheet name="ROI (3)" sheetId="7" r:id="rId1"/>
    <sheet name="COSTOS (3)" sheetId="6" r:id="rId2"/>
    <sheet name="ROI (2)" sheetId="5" r:id="rId3"/>
    <sheet name="COSTOS (2)" sheetId="4" r:id="rId4"/>
    <sheet name="COSTOS" sheetId="1" r:id="rId5"/>
    <sheet name="ROI" sheetId="2" r:id="rId6"/>
    <sheet name="Hoja3" sheetId="3" r:id="rId7"/>
  </sheets>
  <definedNames>
    <definedName name="dol" localSheetId="3">'COSTOS (2)'!$H$1</definedName>
    <definedName name="dol" localSheetId="1">'COSTOS (3)'!$H$1</definedName>
    <definedName name="dol">COSTOS!$H$1</definedName>
    <definedName name="IMP">'COSTOS (3)'!$J$6</definedName>
    <definedName name="mar" localSheetId="3">'COSTOS (2)'!$H$2</definedName>
    <definedName name="mar" localSheetId="1">'COSTOS (3)'!$H$2</definedName>
    <definedName name="mar">COSTOS!$H$2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7" l="1"/>
  <c r="G21" i="7"/>
  <c r="C19" i="7"/>
  <c r="E19" i="7" s="1"/>
  <c r="E20" i="7"/>
  <c r="G18" i="7"/>
  <c r="C16" i="7"/>
  <c r="E16" i="7" s="1"/>
  <c r="F18" i="7" s="1"/>
  <c r="H18" i="7" s="1"/>
  <c r="I18" i="7" s="1"/>
  <c r="E17" i="7"/>
  <c r="C13" i="7"/>
  <c r="E13" i="7" s="1"/>
  <c r="C10" i="7"/>
  <c r="E10" i="7" s="1"/>
  <c r="E14" i="7"/>
  <c r="E11" i="7"/>
  <c r="B4" i="7"/>
  <c r="F42" i="6"/>
  <c r="F41" i="6"/>
  <c r="F40" i="6"/>
  <c r="F39" i="6"/>
  <c r="F38" i="6"/>
  <c r="F37" i="6"/>
  <c r="F36" i="6"/>
  <c r="F35" i="6"/>
  <c r="F32" i="6"/>
  <c r="F31" i="6"/>
  <c r="F30" i="6"/>
  <c r="F29" i="6"/>
  <c r="F28" i="6"/>
  <c r="F27" i="6"/>
  <c r="F24" i="6"/>
  <c r="F23" i="6"/>
  <c r="F12" i="6"/>
  <c r="F11" i="6"/>
  <c r="F10" i="6"/>
  <c r="F9" i="6"/>
  <c r="F8" i="6"/>
  <c r="F7" i="6"/>
  <c r="F16" i="6"/>
  <c r="F17" i="6"/>
  <c r="F18" i="6"/>
  <c r="F19" i="6"/>
  <c r="F20" i="6"/>
  <c r="F21" i="6"/>
  <c r="F22" i="6"/>
  <c r="F21" i="7" l="1"/>
  <c r="H21" i="7" s="1"/>
  <c r="I21" i="7" s="1"/>
  <c r="F12" i="7"/>
  <c r="G12" i="7" s="1"/>
  <c r="H12" i="7" s="1"/>
  <c r="I12" i="7" s="1"/>
  <c r="F15" i="7"/>
  <c r="G15" i="7" s="1"/>
  <c r="H15" i="7" s="1"/>
  <c r="I15" i="7" s="1"/>
  <c r="H2" i="6"/>
  <c r="G25" i="7" l="1"/>
  <c r="H25" i="7" s="1"/>
  <c r="I25" i="7" s="1"/>
  <c r="G47" i="6"/>
  <c r="F44" i="6"/>
  <c r="B26" i="5"/>
  <c r="B22" i="5"/>
  <c r="C40" i="5"/>
  <c r="E40" i="5" s="1"/>
  <c r="E43" i="5" s="1"/>
  <c r="B27" i="5"/>
  <c r="B24" i="5"/>
  <c r="B23" i="5"/>
  <c r="C5" i="5"/>
  <c r="C10" i="5"/>
  <c r="E10" i="5" s="1"/>
  <c r="E11" i="4"/>
  <c r="F11" i="4" s="1"/>
  <c r="E10" i="4"/>
  <c r="F10" i="4" s="1"/>
  <c r="F25" i="4"/>
  <c r="F24" i="4"/>
  <c r="F23" i="4"/>
  <c r="F20" i="4"/>
  <c r="F22" i="4"/>
  <c r="F21" i="4"/>
  <c r="F19" i="4"/>
  <c r="E15" i="4"/>
  <c r="F15" i="4" s="1"/>
  <c r="E8" i="4"/>
  <c r="F18" i="4"/>
  <c r="F17" i="4"/>
  <c r="F16" i="4"/>
  <c r="F14" i="4"/>
  <c r="F13" i="4"/>
  <c r="F12" i="4"/>
  <c r="F9" i="4"/>
  <c r="F8" i="4"/>
  <c r="F7" i="4"/>
  <c r="F6" i="4"/>
  <c r="H2" i="4"/>
  <c r="E53" i="6" l="1"/>
  <c r="F53" i="6" s="1"/>
  <c r="E49" i="6"/>
  <c r="F49" i="6" s="1"/>
  <c r="E51" i="6"/>
  <c r="F51" i="6" s="1"/>
  <c r="E48" i="6"/>
  <c r="F48" i="6" s="1"/>
  <c r="E50" i="6"/>
  <c r="F50" i="6" s="1"/>
  <c r="E52" i="6"/>
  <c r="F52" i="6" s="1"/>
  <c r="B32" i="5"/>
  <c r="B35" i="5" s="1"/>
  <c r="F26" i="4"/>
  <c r="G30" i="4"/>
  <c r="I20" i="2"/>
  <c r="I19" i="2"/>
  <c r="I18" i="2"/>
  <c r="I17" i="2"/>
  <c r="I16" i="2"/>
  <c r="I15" i="2"/>
  <c r="I14" i="2"/>
  <c r="F55" i="6" l="1"/>
  <c r="F57" i="6" s="1"/>
  <c r="H57" i="6" s="1"/>
  <c r="B33" i="5"/>
  <c r="B34" i="5"/>
  <c r="E33" i="4"/>
  <c r="E36" i="4"/>
  <c r="F36" i="4" s="1"/>
  <c r="E32" i="4"/>
  <c r="E35" i="4"/>
  <c r="E34" i="4"/>
  <c r="I21" i="2"/>
  <c r="J21" i="2" s="1"/>
  <c r="K21" i="2" s="1"/>
  <c r="H2" i="1"/>
  <c r="E17" i="1"/>
  <c r="E16" i="1"/>
  <c r="E15" i="1"/>
  <c r="E14" i="1"/>
  <c r="E13" i="1"/>
  <c r="E12" i="1"/>
  <c r="E11" i="1"/>
  <c r="E10" i="1"/>
  <c r="E9" i="1"/>
  <c r="E8" i="1"/>
  <c r="E7" i="1"/>
  <c r="E6" i="1"/>
  <c r="H58" i="6" l="1"/>
  <c r="H59" i="6" s="1"/>
  <c r="F58" i="6"/>
  <c r="F59" i="6" s="1"/>
  <c r="B36" i="5"/>
  <c r="B37" i="5" s="1"/>
  <c r="E45" i="5" s="1"/>
  <c r="F16" i="1"/>
  <c r="F11" i="1"/>
  <c r="F9" i="1"/>
  <c r="F19" i="1"/>
  <c r="F18" i="1"/>
  <c r="F17" i="1"/>
  <c r="F15" i="1"/>
  <c r="F14" i="1"/>
  <c r="F13" i="1"/>
  <c r="F12" i="1"/>
  <c r="F10" i="1"/>
  <c r="F8" i="1"/>
  <c r="F7" i="1"/>
  <c r="F6" i="1"/>
  <c r="G24" i="1" l="1"/>
  <c r="E29" i="1" l="1"/>
  <c r="F29" i="1" s="1"/>
  <c r="E25" i="1"/>
  <c r="F25" i="1" s="1"/>
  <c r="E26" i="1"/>
  <c r="F26" i="1" s="1"/>
  <c r="E28" i="1"/>
  <c r="F28" i="1" s="1"/>
  <c r="E27" i="1"/>
  <c r="F27" i="1" s="1"/>
  <c r="F35" i="1" l="1"/>
  <c r="F36" i="1" s="1"/>
  <c r="F37" i="1" s="1"/>
  <c r="E4" i="2" l="1"/>
  <c r="M4" i="2" s="1"/>
  <c r="F32" i="4"/>
  <c r="F33" i="4"/>
  <c r="I23" i="2" l="1"/>
  <c r="M14" i="2"/>
  <c r="J23" i="2"/>
  <c r="K23" i="2"/>
  <c r="E31" i="4"/>
  <c r="F31" i="4" s="1"/>
  <c r="F35" i="4"/>
  <c r="F34" i="4"/>
  <c r="F38" i="4" l="1"/>
  <c r="F41" i="4" s="1"/>
  <c r="F42" i="4" l="1"/>
  <c r="F43" i="4" s="1"/>
  <c r="B4" i="5" s="1"/>
  <c r="C11" i="5" l="1"/>
  <c r="E11" i="5" s="1"/>
  <c r="E13" i="5" s="1"/>
  <c r="B6" i="5"/>
  <c r="E15" i="5" l="1"/>
</calcChain>
</file>

<file path=xl/sharedStrings.xml><?xml version="1.0" encoding="utf-8"?>
<sst xmlns="http://schemas.openxmlformats.org/spreadsheetml/2006/main" count="345" uniqueCount="210">
  <si>
    <t>ANÁLISIS DE COSTOS</t>
  </si>
  <si>
    <t>ITEM</t>
  </si>
  <si>
    <t>DESCRIPCIÓN</t>
  </si>
  <si>
    <t>CANT</t>
  </si>
  <si>
    <t>UND</t>
  </si>
  <si>
    <t>VALOR  UNITARIO</t>
  </si>
  <si>
    <t>VALOR  TOTAL</t>
  </si>
  <si>
    <t>COSTOS DIRECTOS</t>
  </si>
  <si>
    <t>COSTOS INDIRECTOS</t>
  </si>
  <si>
    <t>ROI</t>
  </si>
  <si>
    <t>ANÁLISIS DEL ROI</t>
  </si>
  <si>
    <t>COSTOS</t>
  </si>
  <si>
    <t>BENEFICIOS</t>
  </si>
  <si>
    <t>TIEMPO DE RECUPERACIÓN DE LA INVERSIÓN</t>
  </si>
  <si>
    <t>SUBTOTAL</t>
  </si>
  <si>
    <t>IVA</t>
  </si>
  <si>
    <t>TOTAL PROYECTO</t>
  </si>
  <si>
    <t>BENEFICIOS/ COSTOS</t>
  </si>
  <si>
    <t>GBL</t>
  </si>
  <si>
    <t>Servicios públicos</t>
  </si>
  <si>
    <t>Soporte</t>
  </si>
  <si>
    <t>Storage - renovación</t>
  </si>
  <si>
    <t>IBM</t>
  </si>
  <si>
    <t>Hardware</t>
  </si>
  <si>
    <t>Software</t>
  </si>
  <si>
    <t>Red</t>
  </si>
  <si>
    <t>Cableado</t>
  </si>
  <si>
    <t>Training</t>
  </si>
  <si>
    <t>CLIENTE: SED</t>
  </si>
  <si>
    <t>PROYECTO: Renovación de almacenamiento.</t>
  </si>
  <si>
    <t>Backup</t>
  </si>
  <si>
    <t>SAN</t>
  </si>
  <si>
    <t>3 años</t>
  </si>
  <si>
    <t>garantías</t>
  </si>
  <si>
    <t>HBAs</t>
  </si>
  <si>
    <t>Switches SAN 48P SFP</t>
  </si>
  <si>
    <t>Transceivers SFP FC 16 Gbps</t>
  </si>
  <si>
    <t>Patch cords de FO OM4, 5 m</t>
  </si>
  <si>
    <t>Sistema backup</t>
  </si>
  <si>
    <t xml:space="preserve">Soporte 7x24x 2 </t>
  </si>
  <si>
    <t>Garantia 3 años</t>
  </si>
  <si>
    <t>Cursos certificación 2 ing</t>
  </si>
  <si>
    <t>Racks 42 U</t>
  </si>
  <si>
    <t xml:space="preserve">Sistemas Discos solid state </t>
  </si>
  <si>
    <t>Instalación y configuración</t>
  </si>
  <si>
    <t>Impuestos</t>
  </si>
  <si>
    <t>Seguros</t>
  </si>
  <si>
    <t>Financiación</t>
  </si>
  <si>
    <t>Licenciamiento</t>
  </si>
  <si>
    <t>Costo ocultos</t>
  </si>
  <si>
    <t>Seguridad</t>
  </si>
  <si>
    <t>tres integradores</t>
  </si>
  <si>
    <t>PROYECTO: ALMACENAMIENTO SED</t>
  </si>
  <si>
    <t>PRESUP</t>
  </si>
  <si>
    <t>OCUPACIÓN</t>
  </si>
  <si>
    <t>PLAN CONTINUIDAD NEGOCIO</t>
  </si>
  <si>
    <t>SOPORTE</t>
  </si>
  <si>
    <t>MANTENIMEINTO</t>
  </si>
  <si>
    <t>BENEFICIOS MENSUALES</t>
  </si>
  <si>
    <t>IMAGEN CORPORATIVA</t>
  </si>
  <si>
    <t>ENERGIA- AHORRO</t>
  </si>
  <si>
    <t>SEGUROS</t>
  </si>
  <si>
    <t>un punto</t>
  </si>
  <si>
    <t>PROYECTO: Puntos Baloto</t>
  </si>
  <si>
    <t>CLIENTE: BALOTO- Bogotá</t>
  </si>
  <si>
    <t>POS</t>
  </si>
  <si>
    <t>Punto red</t>
  </si>
  <si>
    <t>Punto eléctrico</t>
  </si>
  <si>
    <t>Acceso internet 10 Mbps</t>
  </si>
  <si>
    <t>Terminal de venta</t>
  </si>
  <si>
    <t>Arrendamiento</t>
  </si>
  <si>
    <t>Puesto trabajo</t>
  </si>
  <si>
    <t>Seguridad terminal</t>
  </si>
  <si>
    <t>Cámara IP wireless</t>
  </si>
  <si>
    <t>Capacitación</t>
  </si>
  <si>
    <t>Elementos de id</t>
  </si>
  <si>
    <t>Impresora</t>
  </si>
  <si>
    <t>Consumibles</t>
  </si>
  <si>
    <t>Cja fuerte</t>
  </si>
  <si>
    <t>Dotación operador</t>
  </si>
  <si>
    <t>Publicidad</t>
  </si>
  <si>
    <t>Elementos de bioseguridad</t>
  </si>
  <si>
    <t>Nómina Operador</t>
  </si>
  <si>
    <t>Costos administrativos</t>
  </si>
  <si>
    <t>Aseo</t>
  </si>
  <si>
    <t>Mantenimiento y soporte</t>
  </si>
  <si>
    <t>En plata blanca podemos decir de cada $100 vendidos, $50 van para premios, 32,32% para la transferencia del Estado que transferimos a Coljuegos aproximadamente, 7% para el punto de venta, mercadeo tiene 2% y nosotros como operador 8%.</t>
  </si>
  <si>
    <t>7% de lo vendido</t>
  </si>
  <si>
    <t>PROYECTO: BALOTO</t>
  </si>
  <si>
    <t>Elementos seguridad fisica</t>
  </si>
  <si>
    <t>Pone la infraestructura</t>
  </si>
  <si>
    <t>OPERADOR tecnol</t>
  </si>
  <si>
    <t>ESCENARIO 1_</t>
  </si>
  <si>
    <t>ESCENARIO 2-</t>
  </si>
  <si>
    <t>PROPIETARIO FRANQUICIA</t>
  </si>
  <si>
    <t>IGT</t>
  </si>
  <si>
    <t>Pone el punto</t>
  </si>
  <si>
    <t>Paga la franquicia</t>
  </si>
  <si>
    <t>Escenario 1</t>
  </si>
  <si>
    <t>BENEFICIOS ANUALES</t>
  </si>
  <si>
    <t>INGRESOS FRANQUICIA</t>
  </si>
  <si>
    <t>INGRESOS POR PUNTO</t>
  </si>
  <si>
    <t>INGRESOS USO MARCA (TARIFA REGALIA)</t>
  </si>
  <si>
    <t>Costos operación</t>
  </si>
  <si>
    <t>COSTOS PUNTO</t>
  </si>
  <si>
    <t>Escenario 2</t>
  </si>
  <si>
    <t>COSTOS FRANQUICIA</t>
  </si>
  <si>
    <t>ARREGLO LOCAL</t>
  </si>
  <si>
    <t>ARRIENDO</t>
  </si>
  <si>
    <t>SERVICIOS PÚBLICOS</t>
  </si>
  <si>
    <t>NOMINA</t>
  </si>
  <si>
    <t>SEGURIDAD</t>
  </si>
  <si>
    <t>IMPUESTOS</t>
  </si>
  <si>
    <t>FINANCIACIÓN FRANQUICIA</t>
  </si>
  <si>
    <t>PAGO USO MARCA</t>
  </si>
  <si>
    <t>TOTAL</t>
  </si>
  <si>
    <t>PRIMER AÑO</t>
  </si>
  <si>
    <t>ASEO</t>
  </si>
  <si>
    <t>BIOSEGURIDAD</t>
  </si>
  <si>
    <t>SEGURIDAD SITIO</t>
  </si>
  <si>
    <t>ADMINISTRATIVOS</t>
  </si>
  <si>
    <t xml:space="preserve">COSTOS </t>
  </si>
  <si>
    <t>2 AÑO</t>
  </si>
  <si>
    <t>PROYECTO: adecuación centro datos Marval</t>
  </si>
  <si>
    <t>CLIENTE: Marval-Bogotá</t>
  </si>
  <si>
    <t>Supuestos:</t>
  </si>
  <si>
    <t>Area&gt; 54 m2 : 6x9</t>
  </si>
  <si>
    <t>Comunicaciones</t>
  </si>
  <si>
    <t>Mecánico</t>
  </si>
  <si>
    <t xml:space="preserve">dólar </t>
  </si>
  <si>
    <t>margen</t>
  </si>
  <si>
    <t>1.1</t>
  </si>
  <si>
    <t>S. Arquitectónico</t>
  </si>
  <si>
    <t>Tier 2</t>
  </si>
  <si>
    <t>gbl</t>
  </si>
  <si>
    <t>1.2</t>
  </si>
  <si>
    <t>Piso falso</t>
  </si>
  <si>
    <t>m2</t>
  </si>
  <si>
    <t>1.3</t>
  </si>
  <si>
    <t>Puerta acceso</t>
  </si>
  <si>
    <t>1.4</t>
  </si>
  <si>
    <t>Techo falso</t>
  </si>
  <si>
    <t>1.5</t>
  </si>
  <si>
    <t>Rampa</t>
  </si>
  <si>
    <t>1.6</t>
  </si>
  <si>
    <t>Adecuaciones físicas (obras civiles, resanes, pintura,….)</t>
  </si>
  <si>
    <t>ACOMETIDA ELÉCTRICA</t>
  </si>
  <si>
    <t>TABLERO ELÉCTRICO NORMAL</t>
  </si>
  <si>
    <t>UN</t>
  </si>
  <si>
    <t>TABLERO ELÉCTRICO REGULADO</t>
  </si>
  <si>
    <t>CIRCUITOS DE ALIMENTACIÓN GABINETES</t>
  </si>
  <si>
    <t>TIERRA ELÉCTRICA</t>
  </si>
  <si>
    <t>MALLA DE ALTA FRECUENCIA</t>
  </si>
  <si>
    <t>UPS DE 10 Kva modular  escalable a 20KVA, con 7 minutos de autonomia a plena carga</t>
  </si>
  <si>
    <t>3.1</t>
  </si>
  <si>
    <t>3.2</t>
  </si>
  <si>
    <t>3.3</t>
  </si>
  <si>
    <t>3.4</t>
  </si>
  <si>
    <t>3.5</t>
  </si>
  <si>
    <t>3.6</t>
  </si>
  <si>
    <t>3.7</t>
  </si>
  <si>
    <t>3.8</t>
  </si>
  <si>
    <t>11.1</t>
  </si>
  <si>
    <t>Sistema de iluminación con lámparas LED. Incluye tablero de control,  lámaras de emergencia, lámparas tipo LED 60X60, sensores de movimiento</t>
  </si>
  <si>
    <t>2.1</t>
  </si>
  <si>
    <t>Aire de precisión InRow SC, 300mm, Air Cooled, Self-contained 200-240V 60Hz</t>
  </si>
  <si>
    <t>Und</t>
  </si>
  <si>
    <t>2.2</t>
  </si>
  <si>
    <t>INSTALACIÓN</t>
  </si>
  <si>
    <t>2.3</t>
  </si>
  <si>
    <t>STARTUP DEL SISTEMA</t>
  </si>
  <si>
    <t>4.1</t>
  </si>
  <si>
    <t>4.2</t>
  </si>
  <si>
    <t>4.3</t>
  </si>
  <si>
    <t>SISTEMA DE DETECCIÓN Y EXTINCIÓN DE INCENDIOS. Cumple con las normas contra incendio NFPA 70, NFPA 72, NFPA 2001, APROBACION FM, especificaciones material ANSI, ASTM Y NEMA. Agente Limpio - Ecaro25 HFC45.</t>
  </si>
  <si>
    <t>CONTROL DE ACCESO BIOMETRICO 1 PUERTAS.  Incluye controladoras lectoras a la entrada y a la salida de cada puerta, sistema de integración.</t>
  </si>
  <si>
    <t>1</t>
  </si>
  <si>
    <t>4.4</t>
  </si>
  <si>
    <t>4.5</t>
  </si>
  <si>
    <t>S. Eléctrico</t>
  </si>
  <si>
    <t>Gabinetes de COMUNICACIONES  de 42U (210X60X100)</t>
  </si>
  <si>
    <t>Gabinetes de SERVIDORES de 42U (210X60X100)</t>
  </si>
  <si>
    <t>RACKS PDUs (8 NEMA 5-15R outlets)</t>
  </si>
  <si>
    <t>Inteconexión con centro de cableado existente</t>
  </si>
  <si>
    <t>Tierra de telecomunicaciones</t>
  </si>
  <si>
    <t>2.4</t>
  </si>
  <si>
    <t>2.5</t>
  </si>
  <si>
    <t>2.6</t>
  </si>
  <si>
    <t>Chupa de 2 posiciones</t>
  </si>
  <si>
    <t>un</t>
  </si>
  <si>
    <t>4.6</t>
  </si>
  <si>
    <t>Sistema de CCTV (5 cámaras IP)</t>
  </si>
  <si>
    <t>UNID</t>
  </si>
  <si>
    <t>und</t>
  </si>
  <si>
    <t>Cableado del centro de cómputo en categoría 8 F/FTP (Incluye bandejas portacables, salidas , paneles, cable, organizadores, etc.)</t>
  </si>
  <si>
    <t>SUBTOTAL COSTO DIRECTO</t>
  </si>
  <si>
    <t>Instalación y configuración UPS</t>
  </si>
  <si>
    <t>Gabinete de insumos</t>
  </si>
  <si>
    <t>Sistema de monitoreo ambiental  NetBotz</t>
  </si>
  <si>
    <t>4.7</t>
  </si>
  <si>
    <t>PROYECTO: adecuación centro de datos. Marval</t>
  </si>
  <si>
    <t>t ejecución</t>
  </si>
  <si>
    <t>6 mese</t>
  </si>
  <si>
    <t>Costos PROYECTO</t>
  </si>
  <si>
    <t xml:space="preserve">INGRESOS </t>
  </si>
  <si>
    <t>REDUCIR COSTOS</t>
  </si>
  <si>
    <t>AÑO 1</t>
  </si>
  <si>
    <t>AÑO 2</t>
  </si>
  <si>
    <t>AÑO 3</t>
  </si>
  <si>
    <t>AÑO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</si>
</sst>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02124"/>
      <name val="Arial"/>
      <family val="2"/>
    </font>
    <font>
      <sz val="18"/>
      <color rgb="FFFF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0" fillId="0" borderId="1" xfId="1" applyNumberFormat="1" applyFont="1" applyBorder="1"/>
    <xf numFmtId="0" fontId="0" fillId="5" borderId="2" xfId="0" applyFill="1" applyBorder="1"/>
    <xf numFmtId="0" fontId="0" fillId="6" borderId="1" xfId="0" applyFill="1" applyBorder="1"/>
    <xf numFmtId="166" fontId="0" fillId="6" borderId="1" xfId="1" applyNumberFormat="1" applyFont="1" applyFill="1" applyBorder="1"/>
    <xf numFmtId="0" fontId="5" fillId="4" borderId="0" xfId="0" applyFont="1" applyFill="1"/>
    <xf numFmtId="0" fontId="5" fillId="7" borderId="0" xfId="0" applyFont="1" applyFill="1"/>
    <xf numFmtId="0" fontId="5" fillId="2" borderId="0" xfId="0" applyFont="1" applyFill="1"/>
    <xf numFmtId="0" fontId="5" fillId="9" borderId="0" xfId="0" applyFont="1" applyFill="1" applyAlignment="1">
      <alignment wrapText="1"/>
    </xf>
    <xf numFmtId="0" fontId="0" fillId="0" borderId="6" xfId="0" applyBorder="1"/>
    <xf numFmtId="166" fontId="0" fillId="0" borderId="6" xfId="1" applyNumberFormat="1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8" xfId="0" applyBorder="1"/>
    <xf numFmtId="0" fontId="5" fillId="0" borderId="7" xfId="0" applyFont="1" applyBorder="1"/>
    <xf numFmtId="0" fontId="5" fillId="0" borderId="8" xfId="0" applyFont="1" applyBorder="1"/>
    <xf numFmtId="166" fontId="5" fillId="0" borderId="9" xfId="0" applyNumberFormat="1" applyFont="1" applyBorder="1"/>
    <xf numFmtId="164" fontId="6" fillId="0" borderId="9" xfId="1" applyFont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166" fontId="0" fillId="10" borderId="1" xfId="1" applyNumberFormat="1" applyFont="1" applyFill="1" applyBorder="1"/>
    <xf numFmtId="0" fontId="0" fillId="3" borderId="1" xfId="0" applyFill="1" applyBorder="1"/>
    <xf numFmtId="0" fontId="4" fillId="5" borderId="2" xfId="0" applyFont="1" applyFill="1" applyBorder="1"/>
    <xf numFmtId="0" fontId="4" fillId="6" borderId="1" xfId="0" applyFont="1" applyFill="1" applyBorder="1"/>
    <xf numFmtId="0" fontId="7" fillId="0" borderId="0" xfId="0" applyFont="1"/>
    <xf numFmtId="0" fontId="8" fillId="0" borderId="0" xfId="0" applyFont="1"/>
    <xf numFmtId="166" fontId="0" fillId="11" borderId="1" xfId="1" applyNumberFormat="1" applyFont="1" applyFill="1" applyBorder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4" borderId="0" xfId="0" applyFill="1"/>
    <xf numFmtId="166" fontId="0" fillId="6" borderId="0" xfId="0" applyNumberFormat="1" applyFill="1"/>
    <xf numFmtId="9" fontId="0" fillId="0" borderId="0" xfId="0" applyNumberFormat="1"/>
    <xf numFmtId="0" fontId="0" fillId="12" borderId="0" xfId="0" applyFill="1"/>
    <xf numFmtId="164" fontId="0" fillId="0" borderId="0" xfId="1" applyFont="1"/>
    <xf numFmtId="0" fontId="2" fillId="0" borderId="0" xfId="0" applyFont="1"/>
    <xf numFmtId="164" fontId="2" fillId="0" borderId="0" xfId="1" applyFont="1"/>
    <xf numFmtId="164" fontId="0" fillId="0" borderId="0" xfId="0" applyNumberFormat="1"/>
    <xf numFmtId="9" fontId="0" fillId="3" borderId="0" xfId="2" applyFont="1" applyFill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2" fillId="0" borderId="1" xfId="0" applyFont="1" applyBorder="1"/>
    <xf numFmtId="166" fontId="2" fillId="0" borderId="1" xfId="1" applyNumberFormat="1" applyFont="1" applyBorder="1"/>
    <xf numFmtId="164" fontId="9" fillId="0" borderId="9" xfId="1" applyFont="1" applyBorder="1"/>
    <xf numFmtId="166" fontId="0" fillId="13" borderId="1" xfId="1" applyNumberFormat="1" applyFont="1" applyFill="1" applyBorder="1"/>
    <xf numFmtId="165" fontId="0" fillId="0" borderId="0" xfId="3" applyFont="1"/>
    <xf numFmtId="0" fontId="10" fillId="0" borderId="0" xfId="0" applyFont="1" applyAlignment="1">
      <alignment wrapText="1"/>
    </xf>
    <xf numFmtId="164" fontId="0" fillId="0" borderId="0" xfId="2" applyNumberFormat="1" applyFont="1"/>
    <xf numFmtId="0" fontId="0" fillId="3" borderId="0" xfId="0" applyFill="1"/>
    <xf numFmtId="165" fontId="0" fillId="14" borderId="0" xfId="3" applyFont="1" applyFill="1"/>
    <xf numFmtId="0" fontId="2" fillId="9" borderId="0" xfId="0" applyFont="1" applyFill="1" applyAlignment="1">
      <alignment wrapText="1"/>
    </xf>
    <xf numFmtId="0" fontId="11" fillId="0" borderId="0" xfId="0" applyFont="1"/>
    <xf numFmtId="165" fontId="0" fillId="3" borderId="0" xfId="3" applyFont="1" applyFill="1"/>
    <xf numFmtId="165" fontId="0" fillId="0" borderId="0" xfId="0" applyNumberFormat="1"/>
    <xf numFmtId="0" fontId="0" fillId="10" borderId="0" xfId="0" applyFill="1"/>
    <xf numFmtId="164" fontId="0" fillId="10" borderId="0" xfId="0" applyNumberFormat="1" applyFill="1"/>
    <xf numFmtId="0" fontId="2" fillId="4" borderId="0" xfId="0" applyFont="1" applyFill="1"/>
    <xf numFmtId="164" fontId="0" fillId="3" borderId="0" xfId="1" applyFont="1" applyFill="1"/>
    <xf numFmtId="164" fontId="2" fillId="4" borderId="0" xfId="0" applyNumberFormat="1" applyFont="1" applyFill="1"/>
    <xf numFmtId="164" fontId="0" fillId="3" borderId="0" xfId="2" applyNumberFormat="1" applyFont="1" applyFill="1"/>
    <xf numFmtId="0" fontId="2" fillId="15" borderId="1" xfId="0" applyFont="1" applyFill="1" applyBorder="1"/>
    <xf numFmtId="164" fontId="12" fillId="0" borderId="0" xfId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5" borderId="1" xfId="0" applyFont="1" applyFill="1" applyBorder="1"/>
    <xf numFmtId="0" fontId="0" fillId="0" borderId="1" xfId="0" applyFont="1" applyBorder="1" applyAlignment="1">
      <alignment horizontal="center"/>
    </xf>
    <xf numFmtId="0" fontId="0" fillId="10" borderId="0" xfId="0" applyFont="1" applyFill="1"/>
    <xf numFmtId="0" fontId="0" fillId="0" borderId="1" xfId="0" applyFont="1" applyBorder="1"/>
    <xf numFmtId="0" fontId="0" fillId="10" borderId="1" xfId="0" applyFont="1" applyFill="1" applyBorder="1"/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10" borderId="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top"/>
    </xf>
    <xf numFmtId="0" fontId="2" fillId="6" borderId="1" xfId="0" applyFont="1" applyFill="1" applyBorder="1"/>
    <xf numFmtId="0" fontId="13" fillId="0" borderId="0" xfId="0" applyFont="1" applyBorder="1" applyAlignment="1">
      <alignment horizontal="center" vertical="top" wrapText="1"/>
    </xf>
    <xf numFmtId="167" fontId="0" fillId="0" borderId="1" xfId="3" applyNumberFormat="1" applyFont="1" applyBorder="1"/>
    <xf numFmtId="167" fontId="13" fillId="0" borderId="11" xfId="3" applyNumberFormat="1" applyFont="1" applyFill="1" applyBorder="1" applyAlignment="1">
      <alignment horizontal="right" vertical="top"/>
    </xf>
    <xf numFmtId="167" fontId="0" fillId="0" borderId="6" xfId="3" applyNumberFormat="1" applyFont="1" applyBorder="1"/>
    <xf numFmtId="167" fontId="13" fillId="0" borderId="1" xfId="3" applyNumberFormat="1" applyFont="1" applyFill="1" applyBorder="1" applyAlignment="1">
      <alignment horizontal="right" vertical="top"/>
    </xf>
    <xf numFmtId="167" fontId="13" fillId="0" borderId="1" xfId="3" applyNumberFormat="1" applyFont="1" applyBorder="1" applyAlignment="1">
      <alignment horizontal="right" vertical="top"/>
    </xf>
    <xf numFmtId="167" fontId="0" fillId="10" borderId="2" xfId="3" applyNumberFormat="1" applyFont="1" applyFill="1" applyBorder="1"/>
    <xf numFmtId="167" fontId="13" fillId="0" borderId="0" xfId="3" applyNumberFormat="1" applyFont="1" applyFill="1" applyBorder="1" applyAlignment="1">
      <alignment horizontal="right" vertical="top"/>
    </xf>
    <xf numFmtId="167" fontId="0" fillId="5" borderId="1" xfId="3" applyNumberFormat="1" applyFont="1" applyFill="1" applyBorder="1"/>
    <xf numFmtId="167" fontId="2" fillId="5" borderId="1" xfId="3" applyNumberFormat="1" applyFont="1" applyFill="1" applyBorder="1"/>
    <xf numFmtId="0" fontId="2" fillId="15" borderId="0" xfId="0" applyFont="1" applyFill="1"/>
    <xf numFmtId="0" fontId="13" fillId="0" borderId="1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167" fontId="0" fillId="10" borderId="1" xfId="3" applyNumberFormat="1" applyFont="1" applyFill="1" applyBorder="1"/>
    <xf numFmtId="167" fontId="13" fillId="10" borderId="11" xfId="3" applyNumberFormat="1" applyFont="1" applyFill="1" applyBorder="1" applyAlignment="1">
      <alignment horizontal="right" vertical="top"/>
    </xf>
    <xf numFmtId="0" fontId="13" fillId="0" borderId="0" xfId="0" applyFont="1" applyBorder="1" applyAlignment="1">
      <alignment horizontal="center" vertical="top"/>
    </xf>
    <xf numFmtId="164" fontId="2" fillId="0" borderId="1" xfId="1" applyFont="1" applyBorder="1"/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167" fontId="13" fillId="0" borderId="6" xfId="3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166" fontId="12" fillId="0" borderId="1" xfId="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/>
    <xf numFmtId="0" fontId="0" fillId="8" borderId="0" xfId="0" applyFill="1"/>
    <xf numFmtId="0" fontId="2" fillId="10" borderId="0" xfId="0" applyFont="1" applyFill="1" applyAlignment="1">
      <alignment wrapText="1"/>
    </xf>
    <xf numFmtId="0" fontId="11" fillId="10" borderId="0" xfId="0" applyFont="1" applyFill="1"/>
    <xf numFmtId="164" fontId="0" fillId="10" borderId="0" xfId="1" applyFont="1" applyFill="1"/>
    <xf numFmtId="165" fontId="0" fillId="10" borderId="0" xfId="3" applyFont="1" applyFill="1"/>
    <xf numFmtId="0" fontId="2" fillId="10" borderId="0" xfId="0" applyFont="1" applyFill="1"/>
    <xf numFmtId="165" fontId="0" fillId="10" borderId="0" xfId="0" applyNumberFormat="1" applyFill="1"/>
    <xf numFmtId="164" fontId="2" fillId="10" borderId="0" xfId="0" applyNumberFormat="1" applyFont="1" applyFill="1"/>
    <xf numFmtId="0" fontId="5" fillId="10" borderId="0" xfId="0" applyFont="1" applyFill="1"/>
    <xf numFmtId="164" fontId="0" fillId="10" borderId="0" xfId="2" applyNumberFormat="1" applyFont="1" applyFill="1"/>
    <xf numFmtId="164" fontId="2" fillId="10" borderId="0" xfId="1" applyFont="1" applyFill="1"/>
    <xf numFmtId="9" fontId="0" fillId="10" borderId="0" xfId="2" applyFont="1" applyFill="1"/>
    <xf numFmtId="44" fontId="0" fillId="0" borderId="0" xfId="0" applyNumberFormat="1"/>
    <xf numFmtId="164" fontId="0" fillId="16" borderId="0" xfId="0" applyNumberFormat="1" applyFill="1"/>
    <xf numFmtId="0" fontId="0" fillId="16" borderId="0" xfId="0" applyFill="1"/>
    <xf numFmtId="9" fontId="0" fillId="0" borderId="0" xfId="2" applyFon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8552-6F6B-4790-A878-D0417C163A4C}">
  <sheetPr>
    <tabColor theme="9" tint="-0.249977111117893"/>
  </sheetPr>
  <dimension ref="A1:I57"/>
  <sheetViews>
    <sheetView tabSelected="1" topLeftCell="A4" workbookViewId="0">
      <selection activeCell="I25" sqref="I25"/>
    </sheetView>
  </sheetViews>
  <sheetFormatPr baseColWidth="10" defaultRowHeight="14.4" x14ac:dyDescent="0.3"/>
  <cols>
    <col min="1" max="1" width="28.5546875" customWidth="1"/>
    <col min="2" max="2" width="24.88671875" customWidth="1"/>
    <col min="3" max="3" width="18.33203125" bestFit="1" customWidth="1"/>
    <col min="4" max="4" width="8" customWidth="1"/>
    <col min="5" max="6" width="18.33203125" bestFit="1" customWidth="1"/>
    <col min="7" max="7" width="24.5546875" customWidth="1"/>
    <col min="9" max="9" width="18.33203125" bestFit="1" customWidth="1"/>
  </cols>
  <sheetData>
    <row r="1" spans="1:9" ht="25.8" x14ac:dyDescent="0.5">
      <c r="A1" s="114" t="s">
        <v>200</v>
      </c>
      <c r="B1" s="114"/>
      <c r="C1" s="115"/>
    </row>
    <row r="2" spans="1:9" ht="25.8" x14ac:dyDescent="0.5">
      <c r="A2" s="113" t="s">
        <v>10</v>
      </c>
      <c r="B2" s="113"/>
      <c r="C2" s="113"/>
    </row>
    <row r="3" spans="1:9" ht="23.4" x14ac:dyDescent="0.45">
      <c r="A3" s="55" t="s">
        <v>98</v>
      </c>
    </row>
    <row r="4" spans="1:9" ht="18" x14ac:dyDescent="0.35">
      <c r="A4" s="10" t="s">
        <v>203</v>
      </c>
      <c r="B4" s="38">
        <f>+'COSTOS (3)'!F59</f>
        <v>406467940.95319998</v>
      </c>
      <c r="C4" s="37"/>
      <c r="I4" s="41"/>
    </row>
    <row r="5" spans="1:9" x14ac:dyDescent="0.3">
      <c r="A5" s="52"/>
      <c r="B5" s="53"/>
      <c r="C5" s="49"/>
    </row>
    <row r="6" spans="1:9" x14ac:dyDescent="0.3">
      <c r="B6" s="41"/>
    </row>
    <row r="9" spans="1:9" x14ac:dyDescent="0.3">
      <c r="C9" s="39" t="s">
        <v>58</v>
      </c>
      <c r="E9" s="39" t="s">
        <v>99</v>
      </c>
    </row>
    <row r="10" spans="1:9" ht="18" x14ac:dyDescent="0.35">
      <c r="A10" s="11" t="s">
        <v>12</v>
      </c>
      <c r="B10" t="s">
        <v>204</v>
      </c>
      <c r="C10" s="38">
        <f>20000000/0.85*0.1</f>
        <v>2352941.1764705884</v>
      </c>
      <c r="D10">
        <v>12</v>
      </c>
      <c r="E10" s="38">
        <f>+C10*D10</f>
        <v>28235294.117647059</v>
      </c>
      <c r="I10" s="41"/>
    </row>
    <row r="11" spans="1:9" x14ac:dyDescent="0.3">
      <c r="A11" t="s">
        <v>206</v>
      </c>
      <c r="B11" t="s">
        <v>205</v>
      </c>
      <c r="C11" s="51">
        <v>5000000</v>
      </c>
      <c r="D11">
        <v>12</v>
      </c>
      <c r="E11" s="38">
        <f>+C11*D11</f>
        <v>60000000</v>
      </c>
    </row>
    <row r="12" spans="1:9" x14ac:dyDescent="0.3">
      <c r="C12" s="38"/>
      <c r="E12" s="38"/>
      <c r="F12" s="41">
        <f>SUM(E10:E11)</f>
        <v>88235294.117647052</v>
      </c>
      <c r="G12" s="128">
        <f>+F12/B4</f>
        <v>0.21707811423141563</v>
      </c>
      <c r="H12" s="128">
        <f>+G12-1</f>
        <v>-0.78292188576858435</v>
      </c>
      <c r="I12" s="130">
        <f>+H12</f>
        <v>-0.78292188576858435</v>
      </c>
    </row>
    <row r="13" spans="1:9" x14ac:dyDescent="0.3">
      <c r="A13" t="s">
        <v>207</v>
      </c>
      <c r="B13" t="s">
        <v>204</v>
      </c>
      <c r="C13" s="38">
        <f>25000000/0.85*0.1</f>
        <v>2941176.4705882357</v>
      </c>
      <c r="D13">
        <v>12</v>
      </c>
      <c r="E13" s="38">
        <f>+C13*D13</f>
        <v>35294117.64705883</v>
      </c>
      <c r="G13" s="128"/>
      <c r="H13" s="129"/>
    </row>
    <row r="14" spans="1:9" x14ac:dyDescent="0.3">
      <c r="B14" t="s">
        <v>205</v>
      </c>
      <c r="C14" s="51">
        <v>6000000</v>
      </c>
      <c r="D14">
        <v>12</v>
      </c>
      <c r="E14" s="38">
        <f>+C14*D14</f>
        <v>72000000</v>
      </c>
      <c r="G14" s="129"/>
      <c r="H14" s="129"/>
    </row>
    <row r="15" spans="1:9" x14ac:dyDescent="0.3">
      <c r="C15" s="38"/>
      <c r="E15" s="38"/>
      <c r="F15" s="41">
        <f>SUM(E13:E14)</f>
        <v>107294117.64705883</v>
      </c>
      <c r="G15" s="128">
        <f>+F15/B4</f>
        <v>0.26396698690540144</v>
      </c>
      <c r="H15" s="128">
        <f>+G15-1</f>
        <v>-0.73603301309459856</v>
      </c>
      <c r="I15" s="130">
        <f>+H15</f>
        <v>-0.73603301309459856</v>
      </c>
    </row>
    <row r="16" spans="1:9" x14ac:dyDescent="0.3">
      <c r="A16" t="s">
        <v>208</v>
      </c>
      <c r="B16" t="s">
        <v>204</v>
      </c>
      <c r="C16" s="38">
        <f>30000000/0.85*0.1</f>
        <v>3529411.7647058824</v>
      </c>
      <c r="D16">
        <v>12</v>
      </c>
      <c r="E16" s="38">
        <f>+C16*D16</f>
        <v>42352941.176470593</v>
      </c>
      <c r="G16" s="128"/>
      <c r="H16" s="129"/>
    </row>
    <row r="17" spans="1:9" x14ac:dyDescent="0.3">
      <c r="B17" t="s">
        <v>205</v>
      </c>
      <c r="C17" s="51">
        <v>8000000</v>
      </c>
      <c r="D17">
        <v>12</v>
      </c>
      <c r="E17" s="38">
        <f>+C17*D17</f>
        <v>96000000</v>
      </c>
      <c r="G17" s="129"/>
      <c r="H17" s="129"/>
    </row>
    <row r="18" spans="1:9" x14ac:dyDescent="0.3">
      <c r="C18" s="38"/>
      <c r="E18" s="38"/>
      <c r="F18" s="41">
        <f>SUM(E16:E17)</f>
        <v>138352941.17647058</v>
      </c>
      <c r="G18" s="128">
        <f>+F18/B4</f>
        <v>0.34037848311485974</v>
      </c>
      <c r="H18" s="128">
        <f>+G18-1</f>
        <v>-0.65962151688514026</v>
      </c>
      <c r="I18" s="130">
        <f>+H18</f>
        <v>-0.65962151688514026</v>
      </c>
    </row>
    <row r="19" spans="1:9" x14ac:dyDescent="0.3">
      <c r="A19" t="s">
        <v>209</v>
      </c>
      <c r="B19" t="s">
        <v>204</v>
      </c>
      <c r="C19" s="38">
        <f>35000000/0.85*0.1</f>
        <v>4117647.0588235296</v>
      </c>
      <c r="D19">
        <v>12</v>
      </c>
      <c r="E19" s="38">
        <f>+C19*D19</f>
        <v>49411764.705882356</v>
      </c>
      <c r="G19" s="128"/>
      <c r="H19" s="129"/>
    </row>
    <row r="20" spans="1:9" x14ac:dyDescent="0.3">
      <c r="B20" t="s">
        <v>205</v>
      </c>
      <c r="C20" s="51">
        <v>9000000</v>
      </c>
      <c r="D20">
        <v>12</v>
      </c>
      <c r="E20" s="38">
        <f>+C20*D20</f>
        <v>108000000</v>
      </c>
      <c r="G20" s="129"/>
      <c r="H20" s="129"/>
    </row>
    <row r="21" spans="1:9" x14ac:dyDescent="0.3">
      <c r="C21" s="38"/>
      <c r="E21" s="38"/>
      <c r="F21" s="41">
        <f>SUM(E19:E20)</f>
        <v>157411764.70588237</v>
      </c>
      <c r="G21" s="128">
        <f>+F21/B4</f>
        <v>0.38726735578884558</v>
      </c>
      <c r="H21" s="128">
        <f>+G21-1</f>
        <v>-0.61273264421115448</v>
      </c>
      <c r="I21" s="130">
        <f>+H21</f>
        <v>-0.61273264421115448</v>
      </c>
    </row>
    <row r="22" spans="1:9" x14ac:dyDescent="0.3">
      <c r="E22" s="40"/>
      <c r="F22" s="40"/>
      <c r="G22" s="128"/>
      <c r="H22" s="128"/>
    </row>
    <row r="23" spans="1:9" x14ac:dyDescent="0.3">
      <c r="E23" s="40"/>
      <c r="F23" s="40"/>
      <c r="G23" s="128"/>
      <c r="H23" s="128"/>
    </row>
    <row r="24" spans="1:9" x14ac:dyDescent="0.3">
      <c r="E24" s="40"/>
      <c r="F24" s="40"/>
      <c r="G24" s="128"/>
      <c r="H24" s="128"/>
    </row>
    <row r="25" spans="1:9" x14ac:dyDescent="0.3">
      <c r="F25" s="127">
        <f>SUM(F21,F18,F15,F12)</f>
        <v>491294117.64705884</v>
      </c>
      <c r="G25" s="127">
        <f>+F25/B4</f>
        <v>1.2086909400405224</v>
      </c>
      <c r="H25" s="127">
        <f>+G25-1</f>
        <v>0.20869094004052235</v>
      </c>
      <c r="I25" s="130">
        <f>+H25</f>
        <v>0.20869094004052235</v>
      </c>
    </row>
    <row r="26" spans="1:9" ht="18" x14ac:dyDescent="0.35">
      <c r="A26" s="12" t="s">
        <v>9</v>
      </c>
      <c r="E26" s="63"/>
      <c r="F26" s="63"/>
      <c r="G26" s="42"/>
    </row>
    <row r="27" spans="1:9" x14ac:dyDescent="0.3">
      <c r="A27" s="116"/>
      <c r="B27" s="58"/>
      <c r="C27" s="58"/>
      <c r="D27" s="58"/>
      <c r="E27" s="58"/>
    </row>
    <row r="28" spans="1:9" x14ac:dyDescent="0.3">
      <c r="A28" s="58"/>
      <c r="B28" s="58"/>
      <c r="C28" s="58"/>
      <c r="D28" s="58"/>
      <c r="E28" s="58"/>
    </row>
    <row r="29" spans="1:9" ht="23.4" x14ac:dyDescent="0.45">
      <c r="A29" s="117"/>
      <c r="B29" s="58"/>
      <c r="C29" s="58"/>
      <c r="D29" s="58"/>
      <c r="E29" s="58"/>
    </row>
    <row r="30" spans="1:9" ht="23.4" x14ac:dyDescent="0.45">
      <c r="A30" s="117"/>
      <c r="B30" s="58"/>
      <c r="C30" s="58"/>
      <c r="D30" s="58"/>
      <c r="E30" s="58"/>
    </row>
    <row r="31" spans="1:9" x14ac:dyDescent="0.3">
      <c r="A31" s="58"/>
      <c r="B31" s="118"/>
      <c r="C31" s="58"/>
      <c r="D31" s="58"/>
      <c r="E31" s="58"/>
    </row>
    <row r="32" spans="1:9" x14ac:dyDescent="0.3">
      <c r="A32" s="58"/>
      <c r="B32" s="119"/>
      <c r="C32" s="58"/>
      <c r="D32" s="58"/>
      <c r="E32" s="58"/>
    </row>
    <row r="33" spans="1:5" x14ac:dyDescent="0.3">
      <c r="A33" s="58"/>
      <c r="B33" s="118"/>
      <c r="C33" s="58"/>
      <c r="D33" s="58"/>
      <c r="E33" s="58"/>
    </row>
    <row r="34" spans="1:5" x14ac:dyDescent="0.3">
      <c r="A34" s="58"/>
      <c r="B34" s="118"/>
      <c r="C34" s="58"/>
      <c r="D34" s="58"/>
      <c r="E34" s="58"/>
    </row>
    <row r="35" spans="1:5" x14ac:dyDescent="0.3">
      <c r="A35" s="58"/>
      <c r="B35" s="119"/>
      <c r="C35" s="58"/>
      <c r="D35" s="58"/>
      <c r="E35" s="58"/>
    </row>
    <row r="36" spans="1:5" x14ac:dyDescent="0.3">
      <c r="A36" s="58"/>
      <c r="B36" s="118"/>
      <c r="C36" s="58"/>
      <c r="D36" s="58"/>
      <c r="E36" s="58"/>
    </row>
    <row r="37" spans="1:5" x14ac:dyDescent="0.3">
      <c r="A37" s="58"/>
      <c r="B37" s="118"/>
      <c r="C37" s="58"/>
      <c r="D37" s="58"/>
      <c r="E37" s="58"/>
    </row>
    <row r="38" spans="1:5" x14ac:dyDescent="0.3">
      <c r="A38" s="58"/>
      <c r="B38" s="118"/>
      <c r="C38" s="58"/>
      <c r="D38" s="58"/>
      <c r="E38" s="58"/>
    </row>
    <row r="39" spans="1:5" x14ac:dyDescent="0.3">
      <c r="A39" s="58"/>
      <c r="B39" s="118"/>
      <c r="C39" s="58"/>
      <c r="D39" s="58"/>
      <c r="E39" s="58"/>
    </row>
    <row r="40" spans="1:5" x14ac:dyDescent="0.3">
      <c r="A40" s="58"/>
      <c r="B40" s="118"/>
      <c r="C40" s="58"/>
      <c r="D40" s="58"/>
      <c r="E40" s="58"/>
    </row>
    <row r="41" spans="1:5" x14ac:dyDescent="0.3">
      <c r="A41" s="58"/>
      <c r="B41" s="118"/>
      <c r="C41" s="58"/>
      <c r="D41" s="58"/>
      <c r="E41" s="58"/>
    </row>
    <row r="42" spans="1:5" x14ac:dyDescent="0.3">
      <c r="A42" s="58"/>
      <c r="B42" s="118"/>
      <c r="C42" s="58"/>
      <c r="D42" s="58"/>
      <c r="E42" s="58"/>
    </row>
    <row r="43" spans="1:5" x14ac:dyDescent="0.3">
      <c r="A43" s="120"/>
      <c r="B43" s="121"/>
      <c r="C43" s="58"/>
      <c r="D43" s="58"/>
      <c r="E43" s="58"/>
    </row>
    <row r="44" spans="1:5" x14ac:dyDescent="0.3">
      <c r="A44" s="58"/>
      <c r="B44" s="121"/>
      <c r="C44" s="58"/>
      <c r="D44" s="58"/>
      <c r="E44" s="58"/>
    </row>
    <row r="45" spans="1:5" x14ac:dyDescent="0.3">
      <c r="A45" s="58"/>
      <c r="B45" s="121"/>
      <c r="C45" s="58"/>
      <c r="D45" s="58"/>
      <c r="E45" s="58"/>
    </row>
    <row r="46" spans="1:5" x14ac:dyDescent="0.3">
      <c r="A46" s="58"/>
      <c r="B46" s="121"/>
      <c r="C46" s="58"/>
      <c r="D46" s="58"/>
      <c r="E46" s="58"/>
    </row>
    <row r="47" spans="1:5" x14ac:dyDescent="0.3">
      <c r="A47" s="120"/>
      <c r="B47" s="121"/>
      <c r="C47" s="58"/>
      <c r="D47" s="58"/>
      <c r="E47" s="58"/>
    </row>
    <row r="48" spans="1:5" x14ac:dyDescent="0.3">
      <c r="A48" s="120"/>
      <c r="B48" s="122"/>
      <c r="C48" s="58"/>
      <c r="D48" s="58"/>
      <c r="E48" s="58"/>
    </row>
    <row r="49" spans="1:5" x14ac:dyDescent="0.3">
      <c r="A49" s="58"/>
      <c r="B49" s="59"/>
      <c r="C49" s="58"/>
      <c r="D49" s="58"/>
      <c r="E49" s="58"/>
    </row>
    <row r="50" spans="1:5" x14ac:dyDescent="0.3">
      <c r="A50" s="58"/>
      <c r="B50" s="59"/>
      <c r="C50" s="58"/>
      <c r="D50" s="58"/>
      <c r="E50" s="58"/>
    </row>
    <row r="51" spans="1:5" ht="18" x14ac:dyDescent="0.35">
      <c r="A51" s="123"/>
      <c r="B51" s="58"/>
      <c r="C51" s="118"/>
      <c r="D51" s="58"/>
      <c r="E51" s="118"/>
    </row>
    <row r="52" spans="1:5" x14ac:dyDescent="0.3">
      <c r="A52" s="58"/>
      <c r="B52" s="58"/>
      <c r="C52" s="124"/>
      <c r="D52" s="58"/>
      <c r="E52" s="118"/>
    </row>
    <row r="53" spans="1:5" x14ac:dyDescent="0.3">
      <c r="A53" s="58"/>
      <c r="B53" s="58"/>
      <c r="C53" s="118"/>
      <c r="D53" s="58"/>
      <c r="E53" s="118"/>
    </row>
    <row r="54" spans="1:5" x14ac:dyDescent="0.3">
      <c r="A54" s="58"/>
      <c r="B54" s="58"/>
      <c r="C54" s="58"/>
      <c r="D54" s="58"/>
      <c r="E54" s="125"/>
    </row>
    <row r="55" spans="1:5" x14ac:dyDescent="0.3">
      <c r="A55" s="58"/>
      <c r="B55" s="58"/>
      <c r="C55" s="58"/>
      <c r="D55" s="58"/>
      <c r="E55" s="58"/>
    </row>
    <row r="56" spans="1:5" ht="18" x14ac:dyDescent="0.35">
      <c r="A56" s="123"/>
      <c r="B56" s="58"/>
      <c r="C56" s="58"/>
      <c r="D56" s="58"/>
      <c r="E56" s="126"/>
    </row>
    <row r="57" spans="1:5" x14ac:dyDescent="0.3">
      <c r="A57" s="58"/>
      <c r="B57" s="58"/>
      <c r="C57" s="58"/>
      <c r="D57" s="58"/>
      <c r="E57" s="5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3A3C-C259-4705-BDC9-68DBF4DE2849}">
  <sheetPr>
    <tabColor theme="8" tint="0.59999389629810485"/>
  </sheetPr>
  <dimension ref="A1:J59"/>
  <sheetViews>
    <sheetView topLeftCell="A46" zoomScale="130" zoomScaleNormal="130" workbookViewId="0">
      <selection activeCell="F59" sqref="F59"/>
    </sheetView>
  </sheetViews>
  <sheetFormatPr baseColWidth="10" defaultRowHeight="14.4" x14ac:dyDescent="0.3"/>
  <cols>
    <col min="1" max="1" width="10.33203125" customWidth="1"/>
    <col min="2" max="2" width="37" customWidth="1"/>
    <col min="3" max="3" width="7.5546875" customWidth="1"/>
    <col min="4" max="4" width="5.77734375" customWidth="1"/>
    <col min="5" max="5" width="16" customWidth="1"/>
    <col min="6" max="6" width="23.109375" bestFit="1" customWidth="1"/>
    <col min="7" max="7" width="15.5546875" bestFit="1" customWidth="1"/>
    <col min="8" max="8" width="16.5546875" bestFit="1" customWidth="1"/>
    <col min="9" max="9" width="7.88671875" customWidth="1"/>
    <col min="10" max="10" width="9.88671875" customWidth="1"/>
  </cols>
  <sheetData>
    <row r="1" spans="1:10" ht="25.8" x14ac:dyDescent="0.5">
      <c r="A1" s="112" t="s">
        <v>123</v>
      </c>
      <c r="B1" s="112"/>
      <c r="C1" s="112"/>
      <c r="D1" s="112"/>
      <c r="E1" s="112"/>
      <c r="F1" s="112"/>
      <c r="H1" s="34">
        <v>3800</v>
      </c>
      <c r="I1" t="s">
        <v>129</v>
      </c>
    </row>
    <row r="2" spans="1:10" ht="25.8" x14ac:dyDescent="0.5">
      <c r="A2" s="112" t="s">
        <v>124</v>
      </c>
      <c r="B2" s="112"/>
      <c r="C2" s="112"/>
      <c r="D2" s="112"/>
      <c r="E2" s="112"/>
      <c r="F2" s="112"/>
      <c r="H2" s="37">
        <f>1/0.85</f>
        <v>1.1764705882352942</v>
      </c>
      <c r="I2" s="36">
        <v>0.15</v>
      </c>
      <c r="J2" t="s">
        <v>130</v>
      </c>
    </row>
    <row r="3" spans="1:10" ht="26.4" thickBot="1" x14ac:dyDescent="0.55000000000000004">
      <c r="A3" s="112" t="s">
        <v>0</v>
      </c>
      <c r="B3" s="112"/>
      <c r="C3" s="112"/>
      <c r="D3" s="112"/>
      <c r="E3" s="112"/>
      <c r="F3" s="112"/>
    </row>
    <row r="4" spans="1:10" ht="29.4" thickBot="1" x14ac:dyDescent="0.35">
      <c r="A4" s="2" t="s">
        <v>1</v>
      </c>
      <c r="B4" s="3" t="s">
        <v>2</v>
      </c>
      <c r="C4" s="3" t="s">
        <v>192</v>
      </c>
      <c r="D4" s="3" t="s">
        <v>3</v>
      </c>
      <c r="E4" s="4" t="s">
        <v>5</v>
      </c>
      <c r="F4" s="5" t="s">
        <v>6</v>
      </c>
    </row>
    <row r="5" spans="1:10" ht="15.6" x14ac:dyDescent="0.3">
      <c r="A5" s="7"/>
      <c r="B5" s="27" t="s">
        <v>7</v>
      </c>
      <c r="C5" s="7"/>
      <c r="D5" s="7"/>
      <c r="E5" s="7"/>
      <c r="F5" s="7"/>
      <c r="H5" s="29"/>
      <c r="J5" s="30"/>
    </row>
    <row r="6" spans="1:10" x14ac:dyDescent="0.3">
      <c r="A6" s="23">
        <v>1</v>
      </c>
      <c r="B6" s="64" t="s">
        <v>132</v>
      </c>
      <c r="C6" s="23"/>
      <c r="D6" s="1"/>
      <c r="E6" s="6"/>
      <c r="F6" s="6"/>
      <c r="H6" t="s">
        <v>125</v>
      </c>
    </row>
    <row r="7" spans="1:10" x14ac:dyDescent="0.3">
      <c r="A7" s="69" t="s">
        <v>131</v>
      </c>
      <c r="B7" s="70" t="s">
        <v>145</v>
      </c>
      <c r="C7" s="69" t="s">
        <v>134</v>
      </c>
      <c r="D7" s="69">
        <v>1</v>
      </c>
      <c r="E7" s="102">
        <v>25000000</v>
      </c>
      <c r="F7" s="102">
        <f>+E7*D7</f>
        <v>25000000</v>
      </c>
      <c r="H7" t="s">
        <v>126</v>
      </c>
    </row>
    <row r="8" spans="1:10" x14ac:dyDescent="0.3">
      <c r="A8" s="69" t="s">
        <v>135</v>
      </c>
      <c r="B8" s="72" t="s">
        <v>136</v>
      </c>
      <c r="C8" s="69" t="s">
        <v>137</v>
      </c>
      <c r="D8" s="69">
        <v>54</v>
      </c>
      <c r="E8" s="102">
        <v>380000</v>
      </c>
      <c r="F8" s="102">
        <f t="shared" ref="F8:F12" si="0">+E8*D8</f>
        <v>20520000</v>
      </c>
      <c r="H8" t="s">
        <v>201</v>
      </c>
      <c r="I8" t="s">
        <v>202</v>
      </c>
    </row>
    <row r="9" spans="1:10" x14ac:dyDescent="0.3">
      <c r="A9" s="69" t="s">
        <v>138</v>
      </c>
      <c r="B9" s="72" t="s">
        <v>139</v>
      </c>
      <c r="C9" s="69" t="s">
        <v>193</v>
      </c>
      <c r="D9" s="69">
        <v>1</v>
      </c>
      <c r="E9" s="102">
        <v>6000000</v>
      </c>
      <c r="F9" s="102">
        <f t="shared" si="0"/>
        <v>6000000</v>
      </c>
    </row>
    <row r="10" spans="1:10" x14ac:dyDescent="0.3">
      <c r="A10" s="69" t="s">
        <v>140</v>
      </c>
      <c r="B10" s="72" t="s">
        <v>141</v>
      </c>
      <c r="C10" s="69" t="s">
        <v>137</v>
      </c>
      <c r="D10" s="69">
        <v>54</v>
      </c>
      <c r="E10" s="102">
        <v>60000</v>
      </c>
      <c r="F10" s="102">
        <f t="shared" si="0"/>
        <v>3240000</v>
      </c>
    </row>
    <row r="11" spans="1:10" x14ac:dyDescent="0.3">
      <c r="A11" s="69" t="s">
        <v>142</v>
      </c>
      <c r="B11" s="72" t="s">
        <v>143</v>
      </c>
      <c r="C11" s="69" t="s">
        <v>193</v>
      </c>
      <c r="D11" s="69">
        <v>1</v>
      </c>
      <c r="E11" s="102">
        <v>1200000</v>
      </c>
      <c r="F11" s="102">
        <f t="shared" si="0"/>
        <v>1200000</v>
      </c>
    </row>
    <row r="12" spans="1:10" x14ac:dyDescent="0.3">
      <c r="A12" s="78" t="s">
        <v>144</v>
      </c>
      <c r="B12" s="79" t="s">
        <v>188</v>
      </c>
      <c r="C12" s="78" t="s">
        <v>193</v>
      </c>
      <c r="D12" s="78">
        <v>2</v>
      </c>
      <c r="E12" s="103">
        <v>305195</v>
      </c>
      <c r="F12" s="102">
        <f t="shared" si="0"/>
        <v>610390</v>
      </c>
    </row>
    <row r="13" spans="1:10" x14ac:dyDescent="0.3">
      <c r="A13" s="69"/>
      <c r="B13" s="72"/>
      <c r="C13" s="69"/>
      <c r="D13" s="69"/>
      <c r="E13" s="90"/>
      <c r="F13" s="90"/>
    </row>
    <row r="14" spans="1:10" x14ac:dyDescent="0.3">
      <c r="A14" s="69"/>
      <c r="B14" s="72"/>
      <c r="C14" s="69"/>
      <c r="D14" s="69"/>
      <c r="E14" s="90"/>
      <c r="F14" s="90"/>
    </row>
    <row r="15" spans="1:10" x14ac:dyDescent="0.3">
      <c r="A15" s="73">
        <v>3</v>
      </c>
      <c r="B15" s="99" t="s">
        <v>179</v>
      </c>
      <c r="C15" s="73"/>
      <c r="D15" s="73"/>
      <c r="E15" s="92"/>
      <c r="F15" s="92"/>
    </row>
    <row r="16" spans="1:10" x14ac:dyDescent="0.3">
      <c r="A16" s="81" t="s">
        <v>154</v>
      </c>
      <c r="B16" s="82" t="s">
        <v>146</v>
      </c>
      <c r="C16" s="81" t="s">
        <v>18</v>
      </c>
      <c r="D16" s="81">
        <v>1</v>
      </c>
      <c r="E16" s="93">
        <v>5129870</v>
      </c>
      <c r="F16" s="94">
        <f t="shared" ref="F16:F41" si="1">+D16*E16</f>
        <v>5129870</v>
      </c>
    </row>
    <row r="17" spans="1:10" x14ac:dyDescent="0.3">
      <c r="A17" s="81" t="s">
        <v>155</v>
      </c>
      <c r="B17" s="82" t="s">
        <v>147</v>
      </c>
      <c r="C17" s="81" t="s">
        <v>148</v>
      </c>
      <c r="D17" s="81">
        <v>1</v>
      </c>
      <c r="E17" s="93">
        <v>2597403</v>
      </c>
      <c r="F17" s="94">
        <f t="shared" si="1"/>
        <v>2597403</v>
      </c>
    </row>
    <row r="18" spans="1:10" x14ac:dyDescent="0.3">
      <c r="A18" s="81" t="s">
        <v>156</v>
      </c>
      <c r="B18" s="82" t="s">
        <v>149</v>
      </c>
      <c r="C18" s="81" t="s">
        <v>148</v>
      </c>
      <c r="D18" s="81">
        <v>1</v>
      </c>
      <c r="E18" s="93">
        <v>4545455</v>
      </c>
      <c r="F18" s="94">
        <f t="shared" si="1"/>
        <v>4545455</v>
      </c>
    </row>
    <row r="19" spans="1:10" x14ac:dyDescent="0.3">
      <c r="A19" s="81" t="s">
        <v>157</v>
      </c>
      <c r="B19" s="82" t="s">
        <v>150</v>
      </c>
      <c r="C19" s="81" t="s">
        <v>18</v>
      </c>
      <c r="D19" s="81">
        <v>1</v>
      </c>
      <c r="E19" s="93">
        <v>779221</v>
      </c>
      <c r="F19" s="94">
        <f t="shared" si="1"/>
        <v>779221</v>
      </c>
    </row>
    <row r="20" spans="1:10" x14ac:dyDescent="0.3">
      <c r="A20" s="81" t="s">
        <v>158</v>
      </c>
      <c r="B20" s="82" t="s">
        <v>151</v>
      </c>
      <c r="C20" s="81" t="s">
        <v>148</v>
      </c>
      <c r="D20" s="81">
        <v>1</v>
      </c>
      <c r="E20" s="93">
        <v>2337662</v>
      </c>
      <c r="F20" s="94">
        <f t="shared" si="1"/>
        <v>2337662</v>
      </c>
    </row>
    <row r="21" spans="1:10" x14ac:dyDescent="0.3">
      <c r="A21" s="81" t="s">
        <v>159</v>
      </c>
      <c r="B21" s="82" t="s">
        <v>152</v>
      </c>
      <c r="C21" s="81" t="s">
        <v>148</v>
      </c>
      <c r="D21" s="81">
        <v>1</v>
      </c>
      <c r="E21" s="93">
        <v>4025974</v>
      </c>
      <c r="F21" s="94">
        <f t="shared" si="1"/>
        <v>4025974</v>
      </c>
    </row>
    <row r="22" spans="1:10" ht="28.8" x14ac:dyDescent="0.3">
      <c r="A22" s="81" t="s">
        <v>160</v>
      </c>
      <c r="B22" s="83" t="s">
        <v>153</v>
      </c>
      <c r="C22" s="81" t="s">
        <v>148</v>
      </c>
      <c r="D22" s="81">
        <v>1</v>
      </c>
      <c r="E22" s="93">
        <v>33506494</v>
      </c>
      <c r="F22" s="94">
        <f t="shared" si="1"/>
        <v>33506494</v>
      </c>
    </row>
    <row r="23" spans="1:10" x14ac:dyDescent="0.3">
      <c r="A23" s="81" t="s">
        <v>161</v>
      </c>
      <c r="B23" s="82" t="s">
        <v>196</v>
      </c>
      <c r="C23" s="81" t="s">
        <v>134</v>
      </c>
      <c r="D23" s="81">
        <v>1</v>
      </c>
      <c r="E23" s="93">
        <v>3350649</v>
      </c>
      <c r="F23" s="94">
        <f t="shared" si="1"/>
        <v>3350649</v>
      </c>
    </row>
    <row r="24" spans="1:10" ht="57.6" x14ac:dyDescent="0.3">
      <c r="A24" s="78" t="s">
        <v>162</v>
      </c>
      <c r="B24" s="79" t="s">
        <v>163</v>
      </c>
      <c r="C24" s="78" t="s">
        <v>18</v>
      </c>
      <c r="D24" s="78">
        <v>1</v>
      </c>
      <c r="E24" s="91">
        <v>10389610</v>
      </c>
      <c r="F24" s="94">
        <f t="shared" si="1"/>
        <v>10389610</v>
      </c>
    </row>
    <row r="25" spans="1:10" x14ac:dyDescent="0.3">
      <c r="A25" s="81"/>
      <c r="B25" s="82"/>
      <c r="C25" s="81"/>
      <c r="D25" s="81"/>
      <c r="E25" s="93"/>
      <c r="F25" s="94"/>
    </row>
    <row r="26" spans="1:10" x14ac:dyDescent="0.3">
      <c r="A26" s="74">
        <v>4</v>
      </c>
      <c r="B26" s="99" t="s">
        <v>128</v>
      </c>
      <c r="C26" s="74"/>
      <c r="D26" s="74"/>
      <c r="E26" s="95"/>
      <c r="F26" s="94"/>
    </row>
    <row r="27" spans="1:10" ht="28.8" x14ac:dyDescent="0.3">
      <c r="A27" s="84" t="s">
        <v>171</v>
      </c>
      <c r="B27" s="85" t="s">
        <v>165</v>
      </c>
      <c r="C27" s="87" t="s">
        <v>166</v>
      </c>
      <c r="D27" s="87">
        <v>1</v>
      </c>
      <c r="E27" s="91">
        <v>50006494</v>
      </c>
      <c r="F27" s="94">
        <f t="shared" si="1"/>
        <v>50006494</v>
      </c>
      <c r="H27" s="49"/>
      <c r="J27" t="s">
        <v>133</v>
      </c>
    </row>
    <row r="28" spans="1:10" x14ac:dyDescent="0.3">
      <c r="A28" s="84" t="s">
        <v>172</v>
      </c>
      <c r="B28" s="86" t="s">
        <v>168</v>
      </c>
      <c r="C28" s="87" t="s">
        <v>166</v>
      </c>
      <c r="D28" s="87">
        <v>1</v>
      </c>
      <c r="E28" s="91">
        <v>6467532</v>
      </c>
      <c r="F28" s="94">
        <f t="shared" si="1"/>
        <v>6467532</v>
      </c>
    </row>
    <row r="29" spans="1:10" x14ac:dyDescent="0.3">
      <c r="A29" s="84" t="s">
        <v>173</v>
      </c>
      <c r="B29" s="85" t="s">
        <v>170</v>
      </c>
      <c r="C29" s="87" t="s">
        <v>166</v>
      </c>
      <c r="D29" s="84">
        <v>1</v>
      </c>
      <c r="E29" s="91">
        <v>2931818</v>
      </c>
      <c r="F29" s="94">
        <f t="shared" si="1"/>
        <v>2931818</v>
      </c>
    </row>
    <row r="30" spans="1:10" ht="86.4" x14ac:dyDescent="0.3">
      <c r="A30" s="84" t="s">
        <v>177</v>
      </c>
      <c r="B30" s="85" t="s">
        <v>174</v>
      </c>
      <c r="C30" s="87" t="s">
        <v>166</v>
      </c>
      <c r="D30" s="84">
        <v>1</v>
      </c>
      <c r="E30" s="91">
        <v>41298701</v>
      </c>
      <c r="F30" s="94">
        <f t="shared" si="1"/>
        <v>41298701</v>
      </c>
    </row>
    <row r="31" spans="1:10" ht="57.6" x14ac:dyDescent="0.3">
      <c r="A31" s="84" t="s">
        <v>178</v>
      </c>
      <c r="B31" s="100" t="s">
        <v>175</v>
      </c>
      <c r="C31" s="87" t="s">
        <v>166</v>
      </c>
      <c r="D31" s="101" t="s">
        <v>176</v>
      </c>
      <c r="E31" s="91">
        <v>5194805</v>
      </c>
      <c r="F31" s="94">
        <f t="shared" si="1"/>
        <v>5194805</v>
      </c>
    </row>
    <row r="32" spans="1:10" x14ac:dyDescent="0.3">
      <c r="A32" s="89" t="s">
        <v>190</v>
      </c>
      <c r="B32" s="106" t="s">
        <v>191</v>
      </c>
      <c r="C32" s="104" t="s">
        <v>166</v>
      </c>
      <c r="D32" s="107">
        <v>1</v>
      </c>
      <c r="E32" s="96">
        <v>900000</v>
      </c>
      <c r="F32" s="108">
        <f t="shared" si="1"/>
        <v>900000</v>
      </c>
    </row>
    <row r="33" spans="1:7" x14ac:dyDescent="0.3">
      <c r="A33" s="69" t="s">
        <v>199</v>
      </c>
      <c r="B33" s="109" t="s">
        <v>198</v>
      </c>
      <c r="C33" s="109" t="s">
        <v>189</v>
      </c>
      <c r="D33" s="110">
        <v>1</v>
      </c>
      <c r="E33" s="111">
        <v>5025974</v>
      </c>
      <c r="F33" s="111">
        <v>5025974</v>
      </c>
    </row>
    <row r="34" spans="1:7" x14ac:dyDescent="0.3">
      <c r="A34" s="74"/>
      <c r="B34" s="66"/>
      <c r="C34" s="66"/>
      <c r="D34" s="67"/>
      <c r="E34" s="65"/>
      <c r="F34" s="65"/>
    </row>
    <row r="35" spans="1:7" x14ac:dyDescent="0.3">
      <c r="A35" s="69">
        <v>2</v>
      </c>
      <c r="B35" s="64" t="s">
        <v>127</v>
      </c>
      <c r="C35" s="69"/>
      <c r="D35" s="69"/>
      <c r="E35" s="90"/>
      <c r="F35" s="94">
        <f t="shared" si="1"/>
        <v>0</v>
      </c>
    </row>
    <row r="36" spans="1:7" x14ac:dyDescent="0.3">
      <c r="A36" s="78" t="s">
        <v>164</v>
      </c>
      <c r="B36" s="80" t="s">
        <v>180</v>
      </c>
      <c r="C36" s="78" t="s">
        <v>148</v>
      </c>
      <c r="D36" s="78">
        <v>1</v>
      </c>
      <c r="E36" s="91">
        <v>4935065</v>
      </c>
      <c r="F36" s="94">
        <f t="shared" si="1"/>
        <v>4935065</v>
      </c>
    </row>
    <row r="37" spans="1:7" x14ac:dyDescent="0.3">
      <c r="A37" s="78" t="s">
        <v>167</v>
      </c>
      <c r="B37" s="80" t="s">
        <v>181</v>
      </c>
      <c r="C37" s="78" t="s">
        <v>148</v>
      </c>
      <c r="D37" s="78">
        <v>4</v>
      </c>
      <c r="E37" s="91">
        <v>4935065</v>
      </c>
      <c r="F37" s="94">
        <f t="shared" si="1"/>
        <v>19740260</v>
      </c>
    </row>
    <row r="38" spans="1:7" x14ac:dyDescent="0.3">
      <c r="A38" s="78" t="s">
        <v>169</v>
      </c>
      <c r="B38" s="80" t="s">
        <v>182</v>
      </c>
      <c r="C38" s="78" t="s">
        <v>148</v>
      </c>
      <c r="D38" s="78">
        <v>2</v>
      </c>
      <c r="E38" s="91">
        <v>1619481</v>
      </c>
      <c r="F38" s="94">
        <f t="shared" si="1"/>
        <v>3238962</v>
      </c>
    </row>
    <row r="39" spans="1:7" ht="57.6" x14ac:dyDescent="0.3">
      <c r="A39" s="78" t="s">
        <v>185</v>
      </c>
      <c r="B39" s="79" t="s">
        <v>194</v>
      </c>
      <c r="C39" s="78" t="s">
        <v>18</v>
      </c>
      <c r="D39" s="78">
        <v>1</v>
      </c>
      <c r="E39" s="91">
        <v>20000000</v>
      </c>
      <c r="F39" s="94">
        <f t="shared" si="1"/>
        <v>20000000</v>
      </c>
    </row>
    <row r="40" spans="1:7" x14ac:dyDescent="0.3">
      <c r="A40" s="78" t="s">
        <v>186</v>
      </c>
      <c r="B40" s="80" t="s">
        <v>183</v>
      </c>
      <c r="C40" s="78" t="s">
        <v>148</v>
      </c>
      <c r="D40" s="78">
        <v>1</v>
      </c>
      <c r="E40" s="91">
        <v>584416</v>
      </c>
      <c r="F40" s="94">
        <f t="shared" si="1"/>
        <v>584416</v>
      </c>
    </row>
    <row r="41" spans="1:7" x14ac:dyDescent="0.3">
      <c r="A41" s="78" t="s">
        <v>187</v>
      </c>
      <c r="B41" s="80" t="s">
        <v>184</v>
      </c>
      <c r="C41" s="78" t="s">
        <v>148</v>
      </c>
      <c r="D41" s="78">
        <v>1</v>
      </c>
      <c r="E41" s="91">
        <v>974026</v>
      </c>
      <c r="F41" s="94">
        <f t="shared" si="1"/>
        <v>974026</v>
      </c>
    </row>
    <row r="42" spans="1:7" x14ac:dyDescent="0.3">
      <c r="A42" s="78" t="s">
        <v>167</v>
      </c>
      <c r="B42" s="80" t="s">
        <v>197</v>
      </c>
      <c r="C42" s="78" t="s">
        <v>148</v>
      </c>
      <c r="D42" s="78">
        <v>1</v>
      </c>
      <c r="E42" s="91">
        <v>4935065</v>
      </c>
      <c r="F42" s="94">
        <f t="shared" ref="F42" si="2">+D42*E42</f>
        <v>4935065</v>
      </c>
    </row>
    <row r="43" spans="1:7" x14ac:dyDescent="0.3">
      <c r="A43" s="69"/>
      <c r="B43" s="45"/>
      <c r="C43" s="69"/>
      <c r="D43" s="69"/>
      <c r="E43" s="90"/>
      <c r="F43" s="90"/>
    </row>
    <row r="44" spans="1:7" x14ac:dyDescent="0.3">
      <c r="A44" s="75"/>
      <c r="B44" s="68" t="s">
        <v>195</v>
      </c>
      <c r="C44" s="75"/>
      <c r="D44" s="75"/>
      <c r="E44" s="97"/>
      <c r="F44" s="98">
        <f>SUM(F6:F43)</f>
        <v>289465846</v>
      </c>
    </row>
    <row r="45" spans="1:7" x14ac:dyDescent="0.3">
      <c r="A45" s="69"/>
      <c r="B45" s="71"/>
      <c r="C45" s="69"/>
      <c r="D45" s="69"/>
      <c r="E45" s="6"/>
      <c r="F45" s="6"/>
    </row>
    <row r="46" spans="1:7" x14ac:dyDescent="0.3">
      <c r="A46" s="69"/>
      <c r="B46" s="71"/>
      <c r="C46" s="69"/>
      <c r="D46" s="69"/>
      <c r="E46" s="6"/>
      <c r="F46" s="6"/>
    </row>
    <row r="47" spans="1:7" x14ac:dyDescent="0.3">
      <c r="A47" s="76"/>
      <c r="B47" s="88" t="s">
        <v>8</v>
      </c>
      <c r="C47" s="77"/>
      <c r="D47" s="77"/>
      <c r="E47" s="9"/>
      <c r="F47" s="9"/>
      <c r="G47" s="35">
        <f>SUM(F6:F42)</f>
        <v>289465846</v>
      </c>
    </row>
    <row r="48" spans="1:7" x14ac:dyDescent="0.3">
      <c r="A48" s="69">
        <v>1</v>
      </c>
      <c r="B48" s="71" t="s">
        <v>45</v>
      </c>
      <c r="C48" s="69" t="s">
        <v>4</v>
      </c>
      <c r="D48" s="69">
        <v>1</v>
      </c>
      <c r="E48" s="6">
        <f>+G47*0.02</f>
        <v>5789316.9199999999</v>
      </c>
      <c r="F48" s="6">
        <f>+E48*D48</f>
        <v>5789316.9199999999</v>
      </c>
    </row>
    <row r="49" spans="1:8" x14ac:dyDescent="0.3">
      <c r="A49" s="69">
        <v>2</v>
      </c>
      <c r="B49" s="71" t="s">
        <v>47</v>
      </c>
      <c r="C49" s="69" t="s">
        <v>4</v>
      </c>
      <c r="D49" s="69">
        <v>1</v>
      </c>
      <c r="E49" s="6">
        <f>6*G47*0.01</f>
        <v>17367950.760000002</v>
      </c>
      <c r="F49" s="6">
        <f t="shared" ref="F49:F53" si="3">+E49*D49</f>
        <v>17367950.760000002</v>
      </c>
    </row>
    <row r="50" spans="1:8" x14ac:dyDescent="0.3">
      <c r="A50" s="69">
        <v>3</v>
      </c>
      <c r="B50" s="71" t="s">
        <v>46</v>
      </c>
      <c r="C50" s="69" t="s">
        <v>4</v>
      </c>
      <c r="D50" s="69">
        <v>1</v>
      </c>
      <c r="E50" s="6">
        <f>+G47*0.03</f>
        <v>8683975.379999999</v>
      </c>
      <c r="F50" s="6">
        <f t="shared" si="3"/>
        <v>8683975.379999999</v>
      </c>
    </row>
    <row r="51" spans="1:8" x14ac:dyDescent="0.3">
      <c r="A51" s="69">
        <v>4</v>
      </c>
      <c r="B51" s="71" t="s">
        <v>19</v>
      </c>
      <c r="C51" s="69" t="s">
        <v>4</v>
      </c>
      <c r="D51" s="69">
        <v>1</v>
      </c>
      <c r="E51" s="6">
        <f>+G47*0.02</f>
        <v>5789316.9199999999</v>
      </c>
      <c r="F51" s="6">
        <f t="shared" si="3"/>
        <v>5789316.9199999999</v>
      </c>
    </row>
    <row r="52" spans="1:8" x14ac:dyDescent="0.3">
      <c r="A52" s="69">
        <v>5</v>
      </c>
      <c r="B52" s="71" t="s">
        <v>50</v>
      </c>
      <c r="C52" s="69" t="s">
        <v>4</v>
      </c>
      <c r="D52" s="69">
        <v>1</v>
      </c>
      <c r="E52" s="6">
        <f>+G47*0.02</f>
        <v>5789316.9199999999</v>
      </c>
      <c r="F52" s="6">
        <f t="shared" si="3"/>
        <v>5789316.9199999999</v>
      </c>
    </row>
    <row r="53" spans="1:8" x14ac:dyDescent="0.3">
      <c r="A53" s="69">
        <v>6</v>
      </c>
      <c r="B53" s="71" t="s">
        <v>83</v>
      </c>
      <c r="C53" s="69" t="s">
        <v>4</v>
      </c>
      <c r="D53" s="69">
        <v>1</v>
      </c>
      <c r="E53" s="6">
        <f>+G47*0.03</f>
        <v>8683975.379999999</v>
      </c>
      <c r="F53" s="6">
        <f t="shared" si="3"/>
        <v>8683975.379999999</v>
      </c>
    </row>
    <row r="54" spans="1:8" x14ac:dyDescent="0.3">
      <c r="A54" s="1"/>
      <c r="B54" s="45"/>
      <c r="C54" s="1"/>
      <c r="D54" s="1"/>
      <c r="E54" s="6"/>
      <c r="F54" s="6"/>
    </row>
    <row r="55" spans="1:8" x14ac:dyDescent="0.3">
      <c r="A55" s="1"/>
      <c r="B55" s="45" t="s">
        <v>14</v>
      </c>
      <c r="C55" s="23"/>
      <c r="D55" s="1"/>
      <c r="E55" s="6"/>
      <c r="F55" s="46">
        <f>SUM(F48:F53)</f>
        <v>52103852.280000001</v>
      </c>
    </row>
    <row r="56" spans="1:8" ht="15" thickBot="1" x14ac:dyDescent="0.35">
      <c r="A56" s="1"/>
      <c r="B56" s="14"/>
      <c r="C56" s="1"/>
      <c r="D56" s="1"/>
      <c r="E56" s="6"/>
      <c r="F56" s="6"/>
    </row>
    <row r="57" spans="1:8" ht="18.600000000000001" thickBot="1" x14ac:dyDescent="0.4">
      <c r="A57" s="16"/>
      <c r="B57" s="20" t="s">
        <v>14</v>
      </c>
      <c r="C57" s="17"/>
      <c r="D57" s="17"/>
      <c r="E57" s="17"/>
      <c r="F57" s="21">
        <f>+F55+F44</f>
        <v>341569698.27999997</v>
      </c>
      <c r="H57" s="105">
        <f>+F57*mar</f>
        <v>401846703.85882354</v>
      </c>
    </row>
    <row r="58" spans="1:8" ht="18.600000000000001" thickBot="1" x14ac:dyDescent="0.4">
      <c r="A58" s="19"/>
      <c r="B58" s="20" t="s">
        <v>15</v>
      </c>
      <c r="C58" s="18"/>
      <c r="D58" s="18"/>
      <c r="E58" s="18"/>
      <c r="F58" s="47">
        <f>+F57*0.19</f>
        <v>64898242.673199996</v>
      </c>
      <c r="H58" s="105">
        <f>+H57*0.19</f>
        <v>76350873.73317647</v>
      </c>
    </row>
    <row r="59" spans="1:8" ht="18.600000000000001" thickBot="1" x14ac:dyDescent="0.4">
      <c r="A59" s="19"/>
      <c r="B59" s="20" t="s">
        <v>16</v>
      </c>
      <c r="C59" s="18"/>
      <c r="D59" s="18"/>
      <c r="E59" s="18"/>
      <c r="F59" s="21">
        <f>+F57+F58</f>
        <v>406467940.95319998</v>
      </c>
      <c r="H59" s="105">
        <f>+H57+H58</f>
        <v>478197577.59200001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45"/>
  <sheetViews>
    <sheetView workbookViewId="0">
      <selection activeCell="C47" sqref="C47"/>
    </sheetView>
  </sheetViews>
  <sheetFormatPr baseColWidth="10" defaultRowHeight="14.4" x14ac:dyDescent="0.3"/>
  <cols>
    <col min="1" max="1" width="28.5546875" customWidth="1"/>
    <col min="2" max="2" width="24.88671875" customWidth="1"/>
    <col min="3" max="3" width="18.33203125" bestFit="1" customWidth="1"/>
    <col min="4" max="4" width="8" customWidth="1"/>
    <col min="5" max="6" width="18.33203125" bestFit="1" customWidth="1"/>
    <col min="7" max="7" width="24.5546875" customWidth="1"/>
    <col min="9" max="9" width="18.33203125" bestFit="1" customWidth="1"/>
  </cols>
  <sheetData>
    <row r="1" spans="1:10" ht="25.8" x14ac:dyDescent="0.5">
      <c r="A1" s="113" t="s">
        <v>88</v>
      </c>
      <c r="B1" s="113"/>
    </row>
    <row r="2" spans="1:10" ht="25.8" x14ac:dyDescent="0.5">
      <c r="A2" s="113" t="s">
        <v>10</v>
      </c>
      <c r="B2" s="113"/>
    </row>
    <row r="3" spans="1:10" ht="23.4" x14ac:dyDescent="0.45">
      <c r="A3" s="55" t="s">
        <v>98</v>
      </c>
    </row>
    <row r="4" spans="1:10" ht="18" x14ac:dyDescent="0.35">
      <c r="A4" s="10" t="s">
        <v>104</v>
      </c>
      <c r="B4" s="38">
        <f>+'COSTOS (2)'!F43</f>
        <v>18235634.779600002</v>
      </c>
      <c r="C4" s="37"/>
      <c r="I4" s="41"/>
    </row>
    <row r="5" spans="1:10" x14ac:dyDescent="0.3">
      <c r="A5" s="52" t="s">
        <v>103</v>
      </c>
      <c r="B5" s="53">
        <v>3000000</v>
      </c>
      <c r="C5" s="49">
        <f>+B5*12</f>
        <v>36000000</v>
      </c>
    </row>
    <row r="6" spans="1:10" x14ac:dyDescent="0.3">
      <c r="B6" s="41">
        <f>SUM(B4:B5)</f>
        <v>21235634.779600002</v>
      </c>
      <c r="F6" t="s">
        <v>92</v>
      </c>
      <c r="G6" t="s">
        <v>91</v>
      </c>
      <c r="H6" t="s">
        <v>95</v>
      </c>
      <c r="I6" t="s">
        <v>90</v>
      </c>
    </row>
    <row r="7" spans="1:10" x14ac:dyDescent="0.3">
      <c r="F7" t="s">
        <v>93</v>
      </c>
      <c r="G7" t="s">
        <v>94</v>
      </c>
      <c r="I7" t="s">
        <v>96</v>
      </c>
      <c r="J7" t="s">
        <v>97</v>
      </c>
    </row>
    <row r="9" spans="1:10" x14ac:dyDescent="0.3">
      <c r="C9" s="39" t="s">
        <v>58</v>
      </c>
      <c r="E9" s="39" t="s">
        <v>99</v>
      </c>
    </row>
    <row r="10" spans="1:10" ht="18" x14ac:dyDescent="0.35">
      <c r="A10" s="11" t="s">
        <v>12</v>
      </c>
      <c r="B10" t="s">
        <v>101</v>
      </c>
      <c r="C10" s="38">
        <f>2000000*6*4*8%</f>
        <v>3840000</v>
      </c>
      <c r="D10">
        <v>12</v>
      </c>
      <c r="E10" s="38">
        <f>+C10*D10</f>
        <v>46080000</v>
      </c>
      <c r="I10" s="41"/>
    </row>
    <row r="11" spans="1:10" x14ac:dyDescent="0.3">
      <c r="B11" t="s">
        <v>100</v>
      </c>
      <c r="C11" s="51">
        <f>40000000-B4</f>
        <v>21764365.220399998</v>
      </c>
      <c r="E11" s="38">
        <f>+C11</f>
        <v>21764365.220399998</v>
      </c>
    </row>
    <row r="12" spans="1:10" x14ac:dyDescent="0.3">
      <c r="B12" t="s">
        <v>102</v>
      </c>
      <c r="C12" s="38"/>
      <c r="E12" s="38"/>
    </row>
    <row r="13" spans="1:10" x14ac:dyDescent="0.3">
      <c r="E13" s="40">
        <f>SUM(E10:E12)</f>
        <v>67844365.220400006</v>
      </c>
      <c r="F13" s="40"/>
      <c r="G13" s="40"/>
    </row>
    <row r="15" spans="1:10" ht="18" x14ac:dyDescent="0.35">
      <c r="A15" s="12" t="s">
        <v>9</v>
      </c>
      <c r="E15" s="63">
        <f>+(E13-B6)/B6</f>
        <v>2.1948357524765236</v>
      </c>
      <c r="F15" s="42"/>
      <c r="G15" s="42"/>
    </row>
    <row r="16" spans="1:10" ht="28.8" x14ac:dyDescent="0.3">
      <c r="A16" s="54" t="s">
        <v>13</v>
      </c>
    </row>
    <row r="18" spans="1:3" ht="23.4" x14ac:dyDescent="0.45">
      <c r="A18" s="55" t="s">
        <v>105</v>
      </c>
      <c r="B18" t="s">
        <v>116</v>
      </c>
      <c r="C18" t="s">
        <v>122</v>
      </c>
    </row>
    <row r="19" spans="1:3" ht="23.4" x14ac:dyDescent="0.45">
      <c r="A19" s="55" t="s">
        <v>121</v>
      </c>
    </row>
    <row r="20" spans="1:3" x14ac:dyDescent="0.3">
      <c r="A20" t="s">
        <v>106</v>
      </c>
      <c r="B20" s="38"/>
    </row>
    <row r="21" spans="1:3" x14ac:dyDescent="0.3">
      <c r="A21" t="s">
        <v>107</v>
      </c>
      <c r="B21" s="49">
        <v>500000</v>
      </c>
    </row>
    <row r="22" spans="1:3" x14ac:dyDescent="0.3">
      <c r="A22" t="s">
        <v>108</v>
      </c>
      <c r="B22" s="38">
        <f>1200000*12*30%</f>
        <v>4320000</v>
      </c>
    </row>
    <row r="23" spans="1:3" x14ac:dyDescent="0.3">
      <c r="A23" t="s">
        <v>109</v>
      </c>
      <c r="B23" s="38">
        <f>400000*12*30%</f>
        <v>1440000</v>
      </c>
    </row>
    <row r="24" spans="1:3" x14ac:dyDescent="0.3">
      <c r="A24" t="s">
        <v>110</v>
      </c>
      <c r="B24" s="56">
        <f>900000*1.57*12</f>
        <v>16956000</v>
      </c>
    </row>
    <row r="25" spans="1:3" x14ac:dyDescent="0.3">
      <c r="A25" t="s">
        <v>111</v>
      </c>
      <c r="B25" s="38">
        <v>500000</v>
      </c>
    </row>
    <row r="26" spans="1:3" x14ac:dyDescent="0.3">
      <c r="A26" t="s">
        <v>114</v>
      </c>
      <c r="B26" s="61">
        <f>600000*12</f>
        <v>7200000</v>
      </c>
    </row>
    <row r="27" spans="1:3" x14ac:dyDescent="0.3">
      <c r="A27" t="s">
        <v>113</v>
      </c>
      <c r="B27" s="38">
        <f>1120000*12</f>
        <v>13440000</v>
      </c>
    </row>
    <row r="28" spans="1:3" x14ac:dyDescent="0.3">
      <c r="A28" t="s">
        <v>117</v>
      </c>
      <c r="B28" s="38">
        <v>200000</v>
      </c>
    </row>
    <row r="29" spans="1:3" x14ac:dyDescent="0.3">
      <c r="A29" t="s">
        <v>118</v>
      </c>
      <c r="B29" s="38">
        <v>350000</v>
      </c>
    </row>
    <row r="30" spans="1:3" x14ac:dyDescent="0.3">
      <c r="A30" t="s">
        <v>119</v>
      </c>
      <c r="B30" s="38">
        <v>1000000</v>
      </c>
    </row>
    <row r="31" spans="1:3" x14ac:dyDescent="0.3">
      <c r="B31" s="38"/>
    </row>
    <row r="32" spans="1:3" x14ac:dyDescent="0.3">
      <c r="A32" s="39" t="s">
        <v>14</v>
      </c>
      <c r="B32" s="57">
        <f>SUM(B21:B31)</f>
        <v>45906000</v>
      </c>
    </row>
    <row r="33" spans="1:5" x14ac:dyDescent="0.3">
      <c r="A33" t="s">
        <v>112</v>
      </c>
      <c r="B33" s="57">
        <f>+B32*5%</f>
        <v>2295300</v>
      </c>
    </row>
    <row r="34" spans="1:5" x14ac:dyDescent="0.3">
      <c r="A34" t="s">
        <v>61</v>
      </c>
      <c r="B34" s="57">
        <f>+B32*2%</f>
        <v>918120</v>
      </c>
    </row>
    <row r="35" spans="1:5" x14ac:dyDescent="0.3">
      <c r="A35" t="s">
        <v>120</v>
      </c>
      <c r="B35" s="57">
        <f>+B32*2%</f>
        <v>918120</v>
      </c>
    </row>
    <row r="36" spans="1:5" x14ac:dyDescent="0.3">
      <c r="A36" s="39" t="s">
        <v>14</v>
      </c>
      <c r="B36" s="57">
        <f>SUM(B33:B34)</f>
        <v>3213420</v>
      </c>
    </row>
    <row r="37" spans="1:5" x14ac:dyDescent="0.3">
      <c r="A37" s="60" t="s">
        <v>115</v>
      </c>
      <c r="B37" s="62">
        <f>+B36+B32</f>
        <v>49119420</v>
      </c>
    </row>
    <row r="38" spans="1:5" x14ac:dyDescent="0.3">
      <c r="A38" s="58"/>
      <c r="B38" s="59"/>
    </row>
    <row r="39" spans="1:5" x14ac:dyDescent="0.3">
      <c r="A39" s="58"/>
      <c r="B39" s="59"/>
    </row>
    <row r="40" spans="1:5" ht="18" x14ac:dyDescent="0.35">
      <c r="A40" s="11" t="s">
        <v>12</v>
      </c>
      <c r="B40" t="s">
        <v>101</v>
      </c>
      <c r="C40" s="38">
        <f>2000000*6*4*7%</f>
        <v>3360000.0000000005</v>
      </c>
      <c r="D40">
        <v>12</v>
      </c>
      <c r="E40" s="38">
        <f>+C40*D40</f>
        <v>40320000.000000007</v>
      </c>
    </row>
    <row r="41" spans="1:5" x14ac:dyDescent="0.3">
      <c r="C41" s="51"/>
      <c r="E41" s="38"/>
    </row>
    <row r="42" spans="1:5" x14ac:dyDescent="0.3">
      <c r="C42" s="38"/>
      <c r="E42" s="38"/>
    </row>
    <row r="43" spans="1:5" x14ac:dyDescent="0.3">
      <c r="E43" s="40">
        <f>SUM(E40:E42)</f>
        <v>40320000.000000007</v>
      </c>
    </row>
    <row r="45" spans="1:5" ht="18" x14ac:dyDescent="0.35">
      <c r="A45" s="12" t="s">
        <v>9</v>
      </c>
      <c r="E45" s="42">
        <f>+(E43-B37)/B37</f>
        <v>-0.17914340193756345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43"/>
  <sheetViews>
    <sheetView topLeftCell="B10" workbookViewId="0">
      <selection activeCell="A2" sqref="A2:F2"/>
    </sheetView>
  </sheetViews>
  <sheetFormatPr baseColWidth="10" defaultRowHeight="14.4" x14ac:dyDescent="0.3"/>
  <cols>
    <col min="1" max="1" width="10.33203125" customWidth="1"/>
    <col min="2" max="2" width="37" customWidth="1"/>
    <col min="4" max="4" width="10" customWidth="1"/>
    <col min="5" max="5" width="16" customWidth="1"/>
    <col min="6" max="6" width="23.109375" bestFit="1" customWidth="1"/>
    <col min="7" max="7" width="15.5546875" bestFit="1" customWidth="1"/>
    <col min="8" max="8" width="63.6640625" customWidth="1"/>
  </cols>
  <sheetData>
    <row r="1" spans="1:10" ht="25.8" x14ac:dyDescent="0.5">
      <c r="A1" s="112" t="s">
        <v>63</v>
      </c>
      <c r="B1" s="112"/>
      <c r="C1" s="112"/>
      <c r="D1" s="112"/>
      <c r="E1" s="112"/>
      <c r="F1" s="112"/>
      <c r="H1" s="34">
        <v>4050</v>
      </c>
    </row>
    <row r="2" spans="1:10" ht="25.8" x14ac:dyDescent="0.5">
      <c r="A2" s="112" t="s">
        <v>64</v>
      </c>
      <c r="B2" s="112"/>
      <c r="C2" s="112"/>
      <c r="D2" s="112"/>
      <c r="E2" s="112"/>
      <c r="F2" s="112"/>
      <c r="H2" s="37">
        <f>1/0.85</f>
        <v>1.1764705882352942</v>
      </c>
      <c r="I2" s="36">
        <v>0.15</v>
      </c>
    </row>
    <row r="3" spans="1:10" ht="26.4" thickBot="1" x14ac:dyDescent="0.55000000000000004">
      <c r="A3" s="112" t="s">
        <v>0</v>
      </c>
      <c r="B3" s="112"/>
      <c r="C3" s="112"/>
      <c r="D3" s="112"/>
      <c r="E3" s="112"/>
      <c r="F3" s="112"/>
    </row>
    <row r="4" spans="1:10" ht="29.4" thickBot="1" x14ac:dyDescent="0.35">
      <c r="A4" s="2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5" t="s">
        <v>6</v>
      </c>
    </row>
    <row r="5" spans="1:10" ht="15.6" x14ac:dyDescent="0.3">
      <c r="A5" s="7"/>
      <c r="B5" s="27" t="s">
        <v>7</v>
      </c>
      <c r="C5" s="7"/>
      <c r="D5" s="7"/>
      <c r="E5" s="7"/>
      <c r="F5" s="7"/>
      <c r="H5" s="29"/>
      <c r="J5" s="30"/>
    </row>
    <row r="6" spans="1:10" x14ac:dyDescent="0.3">
      <c r="A6" s="23">
        <v>1</v>
      </c>
      <c r="B6" s="1" t="s">
        <v>66</v>
      </c>
      <c r="C6" s="23">
        <v>1</v>
      </c>
      <c r="D6" s="1" t="s">
        <v>4</v>
      </c>
      <c r="E6" s="6">
        <v>250000</v>
      </c>
      <c r="F6" s="6">
        <f>+E6*C6</f>
        <v>250000</v>
      </c>
    </row>
    <row r="7" spans="1:10" x14ac:dyDescent="0.3">
      <c r="A7" s="23">
        <v>2</v>
      </c>
      <c r="B7" s="1" t="s">
        <v>67</v>
      </c>
      <c r="C7" s="23">
        <v>1</v>
      </c>
      <c r="D7" s="1" t="s">
        <v>4</v>
      </c>
      <c r="E7" s="6">
        <v>60000</v>
      </c>
      <c r="F7" s="6">
        <f t="shared" ref="F7:F18" si="0">+E7*C7</f>
        <v>60000</v>
      </c>
      <c r="H7" t="s">
        <v>62</v>
      </c>
    </row>
    <row r="8" spans="1:10" x14ac:dyDescent="0.3">
      <c r="A8" s="23">
        <v>3</v>
      </c>
      <c r="B8" s="1" t="s">
        <v>68</v>
      </c>
      <c r="C8" s="23">
        <v>1</v>
      </c>
      <c r="D8" s="1" t="s">
        <v>4</v>
      </c>
      <c r="E8" s="6">
        <f>56000*12</f>
        <v>672000</v>
      </c>
      <c r="F8" s="6">
        <f t="shared" si="0"/>
        <v>672000</v>
      </c>
      <c r="H8" t="s">
        <v>65</v>
      </c>
    </row>
    <row r="9" spans="1:10" x14ac:dyDescent="0.3">
      <c r="A9" s="23">
        <v>4</v>
      </c>
      <c r="B9" s="1" t="s">
        <v>69</v>
      </c>
      <c r="C9" s="23">
        <v>1</v>
      </c>
      <c r="D9" s="1" t="s">
        <v>4</v>
      </c>
      <c r="E9" s="25">
        <v>900000</v>
      </c>
      <c r="F9" s="6">
        <f t="shared" si="0"/>
        <v>900000</v>
      </c>
    </row>
    <row r="10" spans="1:10" x14ac:dyDescent="0.3">
      <c r="A10" s="23">
        <v>5</v>
      </c>
      <c r="B10" s="43" t="s">
        <v>82</v>
      </c>
      <c r="C10" s="44">
        <v>1</v>
      </c>
      <c r="D10" s="43" t="s">
        <v>4</v>
      </c>
      <c r="E10" s="48">
        <f>950000*1.51*12*0.2</f>
        <v>3442800</v>
      </c>
      <c r="F10" s="6">
        <f t="shared" si="0"/>
        <v>3442800</v>
      </c>
      <c r="H10" s="49"/>
    </row>
    <row r="11" spans="1:10" x14ac:dyDescent="0.3">
      <c r="A11" s="23">
        <v>6</v>
      </c>
      <c r="B11" s="43" t="s">
        <v>70</v>
      </c>
      <c r="C11" s="44">
        <v>1</v>
      </c>
      <c r="D11" s="43" t="s">
        <v>4</v>
      </c>
      <c r="E11" s="48">
        <f>800000*12*10%</f>
        <v>960000</v>
      </c>
      <c r="F11" s="6">
        <f t="shared" si="0"/>
        <v>960000</v>
      </c>
    </row>
    <row r="12" spans="1:10" x14ac:dyDescent="0.3">
      <c r="A12" s="23">
        <v>7</v>
      </c>
      <c r="B12" s="1" t="s">
        <v>71</v>
      </c>
      <c r="C12" s="23">
        <v>1</v>
      </c>
      <c r="D12" s="1" t="s">
        <v>4</v>
      </c>
      <c r="E12" s="6">
        <v>300000</v>
      </c>
      <c r="F12" s="6">
        <f t="shared" si="0"/>
        <v>300000</v>
      </c>
    </row>
    <row r="13" spans="1:10" x14ac:dyDescent="0.3">
      <c r="A13" s="23">
        <v>8</v>
      </c>
      <c r="B13" s="1" t="s">
        <v>72</v>
      </c>
      <c r="C13" s="23">
        <v>1</v>
      </c>
      <c r="D13" s="1" t="s">
        <v>4</v>
      </c>
      <c r="E13" s="6">
        <v>70000</v>
      </c>
      <c r="F13" s="6">
        <f t="shared" si="0"/>
        <v>70000</v>
      </c>
    </row>
    <row r="14" spans="1:10" x14ac:dyDescent="0.3">
      <c r="A14" s="23">
        <v>9</v>
      </c>
      <c r="B14" s="1" t="s">
        <v>73</v>
      </c>
      <c r="C14" s="23">
        <v>2</v>
      </c>
      <c r="D14" s="1" t="s">
        <v>4</v>
      </c>
      <c r="E14" s="6">
        <v>75000</v>
      </c>
      <c r="F14" s="6">
        <f t="shared" si="0"/>
        <v>150000</v>
      </c>
    </row>
    <row r="15" spans="1:10" x14ac:dyDescent="0.3">
      <c r="A15" s="23">
        <v>10</v>
      </c>
      <c r="B15" s="1" t="s">
        <v>74</v>
      </c>
      <c r="C15" s="23">
        <v>1</v>
      </c>
      <c r="D15" s="1" t="s">
        <v>4</v>
      </c>
      <c r="E15" s="6">
        <f>8*60000</f>
        <v>480000</v>
      </c>
      <c r="F15" s="6">
        <f t="shared" si="0"/>
        <v>480000</v>
      </c>
    </row>
    <row r="16" spans="1:10" x14ac:dyDescent="0.3">
      <c r="A16" s="23">
        <v>11</v>
      </c>
      <c r="B16" s="1" t="s">
        <v>75</v>
      </c>
      <c r="C16" s="23">
        <v>1</v>
      </c>
      <c r="D16" s="1" t="s">
        <v>4</v>
      </c>
      <c r="E16" s="6">
        <v>300000</v>
      </c>
      <c r="F16" s="6">
        <f t="shared" si="0"/>
        <v>300000</v>
      </c>
    </row>
    <row r="17" spans="1:8" x14ac:dyDescent="0.3">
      <c r="A17" s="23">
        <v>12</v>
      </c>
      <c r="B17" s="1" t="s">
        <v>76</v>
      </c>
      <c r="C17" s="23">
        <v>1</v>
      </c>
      <c r="D17" s="1" t="s">
        <v>4</v>
      </c>
      <c r="E17" s="25">
        <v>500000</v>
      </c>
      <c r="F17" s="6">
        <f t="shared" si="0"/>
        <v>500000</v>
      </c>
    </row>
    <row r="18" spans="1:8" x14ac:dyDescent="0.3">
      <c r="A18" s="23">
        <v>13</v>
      </c>
      <c r="B18" s="43" t="s">
        <v>77</v>
      </c>
      <c r="C18" s="23">
        <v>1</v>
      </c>
      <c r="D18" s="1" t="s">
        <v>18</v>
      </c>
      <c r="E18" s="6">
        <v>1000000</v>
      </c>
      <c r="F18" s="6">
        <f t="shared" si="0"/>
        <v>1000000</v>
      </c>
    </row>
    <row r="19" spans="1:8" x14ac:dyDescent="0.3">
      <c r="A19" s="23">
        <v>14</v>
      </c>
      <c r="B19" s="43" t="s">
        <v>78</v>
      </c>
      <c r="C19" s="23">
        <v>1</v>
      </c>
      <c r="D19" s="1" t="s">
        <v>4</v>
      </c>
      <c r="E19" s="6">
        <v>500000</v>
      </c>
      <c r="F19" s="6">
        <f t="shared" ref="F19" si="1">+E19*C19</f>
        <v>500000</v>
      </c>
    </row>
    <row r="20" spans="1:8" x14ac:dyDescent="0.3">
      <c r="A20" s="23">
        <v>15</v>
      </c>
      <c r="B20" s="43" t="s">
        <v>79</v>
      </c>
      <c r="C20" s="23">
        <v>1</v>
      </c>
      <c r="D20" s="1" t="s">
        <v>4</v>
      </c>
      <c r="E20" s="6">
        <v>1755606</v>
      </c>
      <c r="F20" s="6">
        <f t="shared" ref="F20:F22" si="2">+E20*C20</f>
        <v>1755606</v>
      </c>
    </row>
    <row r="21" spans="1:8" ht="26.25" customHeight="1" x14ac:dyDescent="0.3">
      <c r="A21" s="23">
        <v>16</v>
      </c>
      <c r="B21" s="43" t="s">
        <v>80</v>
      </c>
      <c r="C21" s="23">
        <v>1</v>
      </c>
      <c r="D21" s="1" t="s">
        <v>4</v>
      </c>
      <c r="E21" s="6">
        <v>200000</v>
      </c>
      <c r="F21" s="6">
        <f t="shared" si="2"/>
        <v>200000</v>
      </c>
      <c r="H21" s="50" t="s">
        <v>86</v>
      </c>
    </row>
    <row r="22" spans="1:8" x14ac:dyDescent="0.3">
      <c r="A22" s="23">
        <v>17</v>
      </c>
      <c r="B22" s="1" t="s">
        <v>81</v>
      </c>
      <c r="C22" s="23">
        <v>1</v>
      </c>
      <c r="D22" s="1" t="s">
        <v>4</v>
      </c>
      <c r="E22" s="6">
        <v>200000</v>
      </c>
      <c r="F22" s="6">
        <f t="shared" si="2"/>
        <v>200000</v>
      </c>
      <c r="H22" t="s">
        <v>87</v>
      </c>
    </row>
    <row r="23" spans="1:8" x14ac:dyDescent="0.3">
      <c r="A23" s="23">
        <v>18</v>
      </c>
      <c r="B23" s="26" t="s">
        <v>84</v>
      </c>
      <c r="C23" s="23">
        <v>1</v>
      </c>
      <c r="D23" s="1" t="s">
        <v>4</v>
      </c>
      <c r="E23" s="6">
        <v>500000</v>
      </c>
      <c r="F23" s="6">
        <f t="shared" ref="F23:F24" si="3">+E23*C23</f>
        <v>500000</v>
      </c>
      <c r="H23" s="38">
        <v>2000000</v>
      </c>
    </row>
    <row r="24" spans="1:8" x14ac:dyDescent="0.3">
      <c r="A24" s="23">
        <v>19</v>
      </c>
      <c r="B24" s="26" t="s">
        <v>85</v>
      </c>
      <c r="C24" s="23">
        <v>1</v>
      </c>
      <c r="D24" s="1" t="s">
        <v>4</v>
      </c>
      <c r="E24" s="6">
        <v>500000</v>
      </c>
      <c r="F24" s="6">
        <f t="shared" si="3"/>
        <v>500000</v>
      </c>
    </row>
    <row r="25" spans="1:8" x14ac:dyDescent="0.3">
      <c r="A25" s="23"/>
      <c r="B25" s="26" t="s">
        <v>89</v>
      </c>
      <c r="C25" s="23">
        <v>1</v>
      </c>
      <c r="D25" s="1" t="s">
        <v>4</v>
      </c>
      <c r="E25" s="6">
        <v>800000</v>
      </c>
      <c r="F25" s="6">
        <f t="shared" ref="F25" si="4">+E25*C25</f>
        <v>800000</v>
      </c>
    </row>
    <row r="26" spans="1:8" x14ac:dyDescent="0.3">
      <c r="A26" s="23"/>
      <c r="B26" s="45" t="s">
        <v>14</v>
      </c>
      <c r="C26" s="23"/>
      <c r="D26" s="1"/>
      <c r="E26" s="6"/>
      <c r="F26" s="46">
        <f>SUM(F6:F25)</f>
        <v>13540406</v>
      </c>
    </row>
    <row r="27" spans="1:8" x14ac:dyDescent="0.3">
      <c r="A27" s="23"/>
      <c r="B27" s="1"/>
      <c r="C27" s="23"/>
      <c r="D27" s="1"/>
      <c r="E27" s="6"/>
      <c r="F27" s="6"/>
    </row>
    <row r="28" spans="1:8" x14ac:dyDescent="0.3">
      <c r="A28" s="23"/>
      <c r="B28" s="1"/>
      <c r="C28" s="23"/>
      <c r="D28" s="1"/>
      <c r="E28" s="6"/>
      <c r="F28" s="6"/>
    </row>
    <row r="29" spans="1:8" x14ac:dyDescent="0.3">
      <c r="A29" s="23"/>
      <c r="B29" s="1"/>
      <c r="C29" s="23"/>
      <c r="D29" s="1"/>
      <c r="E29" s="6"/>
      <c r="F29" s="6"/>
    </row>
    <row r="30" spans="1:8" ht="15.6" x14ac:dyDescent="0.3">
      <c r="A30" s="8"/>
      <c r="B30" s="28" t="s">
        <v>8</v>
      </c>
      <c r="C30" s="24"/>
      <c r="D30" s="8"/>
      <c r="E30" s="9"/>
      <c r="F30" s="9"/>
      <c r="G30" s="35">
        <f>SUM(F6:F24)</f>
        <v>12740406</v>
      </c>
    </row>
    <row r="31" spans="1:8" x14ac:dyDescent="0.3">
      <c r="A31" s="23">
        <v>1</v>
      </c>
      <c r="B31" s="1" t="s">
        <v>45</v>
      </c>
      <c r="C31" s="23">
        <v>1</v>
      </c>
      <c r="D31" s="1" t="s">
        <v>4</v>
      </c>
      <c r="E31" s="6">
        <f>+G30*0.02</f>
        <v>254808.12</v>
      </c>
      <c r="F31" s="6">
        <f t="shared" ref="F31:F35" si="5">+E31*C31</f>
        <v>254808.12</v>
      </c>
    </row>
    <row r="32" spans="1:8" x14ac:dyDescent="0.3">
      <c r="A32" s="23">
        <v>2</v>
      </c>
      <c r="B32" s="1" t="s">
        <v>47</v>
      </c>
      <c r="C32" s="23">
        <v>1</v>
      </c>
      <c r="D32" s="1" t="s">
        <v>4</v>
      </c>
      <c r="E32" s="6">
        <f>3*G30*0.01</f>
        <v>382212.18</v>
      </c>
      <c r="F32" s="6">
        <f t="shared" si="5"/>
        <v>382212.18</v>
      </c>
    </row>
    <row r="33" spans="1:6" x14ac:dyDescent="0.3">
      <c r="A33" s="23">
        <v>3</v>
      </c>
      <c r="B33" s="1" t="s">
        <v>46</v>
      </c>
      <c r="C33" s="23">
        <v>1</v>
      </c>
      <c r="D33" s="1" t="s">
        <v>4</v>
      </c>
      <c r="E33" s="6">
        <f>+G30*0.03</f>
        <v>382212.18</v>
      </c>
      <c r="F33" s="6">
        <f t="shared" si="5"/>
        <v>382212.18</v>
      </c>
    </row>
    <row r="34" spans="1:6" x14ac:dyDescent="0.3">
      <c r="A34" s="23">
        <v>4</v>
      </c>
      <c r="B34" s="1" t="s">
        <v>19</v>
      </c>
      <c r="C34" s="23">
        <v>1</v>
      </c>
      <c r="D34" s="1" t="s">
        <v>4</v>
      </c>
      <c r="E34" s="6">
        <f>+G30*0.02</f>
        <v>254808.12</v>
      </c>
      <c r="F34" s="6">
        <f t="shared" si="5"/>
        <v>254808.12</v>
      </c>
    </row>
    <row r="35" spans="1:6" x14ac:dyDescent="0.3">
      <c r="A35" s="23">
        <v>5</v>
      </c>
      <c r="B35" s="1" t="s">
        <v>50</v>
      </c>
      <c r="C35" s="23">
        <v>1</v>
      </c>
      <c r="D35" s="1" t="s">
        <v>4</v>
      </c>
      <c r="E35" s="6">
        <f>+G30*0.02</f>
        <v>254808.12</v>
      </c>
      <c r="F35" s="6">
        <f t="shared" si="5"/>
        <v>254808.12</v>
      </c>
    </row>
    <row r="36" spans="1:6" x14ac:dyDescent="0.3">
      <c r="A36" s="23">
        <v>6</v>
      </c>
      <c r="B36" s="1" t="s">
        <v>83</v>
      </c>
      <c r="C36" s="23">
        <v>1</v>
      </c>
      <c r="D36" s="1" t="s">
        <v>4</v>
      </c>
      <c r="E36" s="6">
        <f>+G30*0.02</f>
        <v>254808.12</v>
      </c>
      <c r="F36" s="6">
        <f t="shared" ref="F36" si="6">+E36*C36</f>
        <v>254808.12</v>
      </c>
    </row>
    <row r="37" spans="1:6" x14ac:dyDescent="0.3">
      <c r="A37" s="1"/>
      <c r="B37" s="1"/>
      <c r="C37" s="1"/>
      <c r="D37" s="1"/>
      <c r="E37" s="6"/>
      <c r="F37" s="6"/>
    </row>
    <row r="38" spans="1:6" x14ac:dyDescent="0.3">
      <c r="A38" s="1"/>
      <c r="B38" s="45" t="s">
        <v>14</v>
      </c>
      <c r="C38" s="23"/>
      <c r="D38" s="1"/>
      <c r="E38" s="6"/>
      <c r="F38" s="46">
        <f>SUM(F31:F36)</f>
        <v>1783656.8400000003</v>
      </c>
    </row>
    <row r="39" spans="1:6" x14ac:dyDescent="0.3">
      <c r="A39" s="1"/>
      <c r="B39" s="1"/>
      <c r="C39" s="1"/>
      <c r="D39" s="1"/>
      <c r="E39" s="6"/>
      <c r="F39" s="6"/>
    </row>
    <row r="40" spans="1:6" ht="15" thickBot="1" x14ac:dyDescent="0.35">
      <c r="A40" s="14"/>
      <c r="B40" s="14"/>
      <c r="C40" s="14"/>
      <c r="D40" s="14"/>
      <c r="E40" s="15"/>
      <c r="F40" s="15"/>
    </row>
    <row r="41" spans="1:6" ht="18.600000000000001" thickBot="1" x14ac:dyDescent="0.4">
      <c r="A41" s="16"/>
      <c r="B41" s="20" t="s">
        <v>14</v>
      </c>
      <c r="C41" s="17"/>
      <c r="D41" s="17"/>
      <c r="E41" s="17"/>
      <c r="F41" s="21">
        <f>+F38+F26</f>
        <v>15324062.84</v>
      </c>
    </row>
    <row r="42" spans="1:6" ht="18.600000000000001" thickBot="1" x14ac:dyDescent="0.4">
      <c r="A42" s="19"/>
      <c r="B42" s="17" t="s">
        <v>15</v>
      </c>
      <c r="C42" s="18"/>
      <c r="D42" s="18"/>
      <c r="E42" s="18"/>
      <c r="F42" s="47">
        <f>+F41*0.19</f>
        <v>2911571.9396000002</v>
      </c>
    </row>
    <row r="43" spans="1:6" ht="18.600000000000001" thickBot="1" x14ac:dyDescent="0.4">
      <c r="A43" s="19"/>
      <c r="B43" s="20" t="s">
        <v>16</v>
      </c>
      <c r="C43" s="18"/>
      <c r="D43" s="18"/>
      <c r="E43" s="18"/>
      <c r="F43" s="21">
        <f>+F41+F42</f>
        <v>18235634.779600002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K37"/>
  <sheetViews>
    <sheetView topLeftCell="B13" workbookViewId="0">
      <selection activeCell="F37" sqref="F37"/>
    </sheetView>
  </sheetViews>
  <sheetFormatPr baseColWidth="10" defaultRowHeight="14.4" x14ac:dyDescent="0.3"/>
  <cols>
    <col min="1" max="1" width="10.33203125" customWidth="1"/>
    <col min="2" max="2" width="37" customWidth="1"/>
    <col min="4" max="4" width="10" customWidth="1"/>
    <col min="5" max="5" width="16" customWidth="1"/>
    <col min="6" max="6" width="23.109375" bestFit="1" customWidth="1"/>
    <col min="7" max="7" width="15.5546875" bestFit="1" customWidth="1"/>
  </cols>
  <sheetData>
    <row r="1" spans="1:11" ht="25.8" x14ac:dyDescent="0.5">
      <c r="A1" s="112" t="s">
        <v>29</v>
      </c>
      <c r="B1" s="112"/>
      <c r="C1" s="112"/>
      <c r="D1" s="112"/>
      <c r="E1" s="112"/>
      <c r="F1" s="112"/>
      <c r="H1" s="34">
        <v>4050</v>
      </c>
    </row>
    <row r="2" spans="1:11" ht="25.8" x14ac:dyDescent="0.5">
      <c r="A2" s="112" t="s">
        <v>28</v>
      </c>
      <c r="B2" s="112"/>
      <c r="C2" s="112"/>
      <c r="D2" s="112"/>
      <c r="E2" s="112"/>
      <c r="F2" s="112"/>
      <c r="H2" s="37">
        <f>1/0.85</f>
        <v>1.1764705882352942</v>
      </c>
      <c r="I2" s="36">
        <v>0.15</v>
      </c>
    </row>
    <row r="3" spans="1:11" ht="26.4" thickBot="1" x14ac:dyDescent="0.55000000000000004">
      <c r="A3" s="112" t="s">
        <v>0</v>
      </c>
      <c r="B3" s="112"/>
      <c r="C3" s="112"/>
      <c r="D3" s="112"/>
      <c r="E3" s="112"/>
      <c r="F3" s="112"/>
    </row>
    <row r="4" spans="1:11" ht="29.4" thickBot="1" x14ac:dyDescent="0.35">
      <c r="A4" s="2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5" t="s">
        <v>6</v>
      </c>
    </row>
    <row r="5" spans="1:11" ht="15.6" x14ac:dyDescent="0.3">
      <c r="A5" s="7"/>
      <c r="B5" s="27" t="s">
        <v>7</v>
      </c>
      <c r="C5" s="7"/>
      <c r="D5" s="7"/>
      <c r="E5" s="7"/>
      <c r="F5" s="7"/>
      <c r="H5" s="29" t="s">
        <v>21</v>
      </c>
      <c r="J5" s="30" t="s">
        <v>22</v>
      </c>
      <c r="K5" t="s">
        <v>31</v>
      </c>
    </row>
    <row r="6" spans="1:11" x14ac:dyDescent="0.3">
      <c r="A6" s="23">
        <v>1</v>
      </c>
      <c r="B6" s="1" t="s">
        <v>34</v>
      </c>
      <c r="C6" s="23">
        <v>60</v>
      </c>
      <c r="D6" s="1" t="s">
        <v>4</v>
      </c>
      <c r="E6" s="6">
        <f>1000*dol</f>
        <v>4050000</v>
      </c>
      <c r="F6" s="6">
        <f>+E6*C6</f>
        <v>243000000</v>
      </c>
      <c r="H6" t="s">
        <v>23</v>
      </c>
    </row>
    <row r="7" spans="1:11" x14ac:dyDescent="0.3">
      <c r="A7" s="23">
        <v>2</v>
      </c>
      <c r="B7" s="1" t="s">
        <v>35</v>
      </c>
      <c r="C7" s="23">
        <v>4</v>
      </c>
      <c r="D7" s="1" t="s">
        <v>4</v>
      </c>
      <c r="E7" s="6">
        <f>8000*dol</f>
        <v>32400000</v>
      </c>
      <c r="F7" s="6">
        <f t="shared" ref="F7:F19" si="0">+E7*C7</f>
        <v>129600000</v>
      </c>
      <c r="H7" t="s">
        <v>24</v>
      </c>
      <c r="J7" t="s">
        <v>32</v>
      </c>
    </row>
    <row r="8" spans="1:11" x14ac:dyDescent="0.3">
      <c r="A8" s="23">
        <v>3</v>
      </c>
      <c r="B8" s="1" t="s">
        <v>36</v>
      </c>
      <c r="C8" s="23">
        <v>140</v>
      </c>
      <c r="D8" s="1" t="s">
        <v>4</v>
      </c>
      <c r="E8" s="6">
        <f>427*dol</f>
        <v>1729350</v>
      </c>
      <c r="F8" s="6">
        <f t="shared" si="0"/>
        <v>242109000</v>
      </c>
      <c r="H8" t="s">
        <v>25</v>
      </c>
    </row>
    <row r="9" spans="1:11" x14ac:dyDescent="0.3">
      <c r="A9" s="23">
        <v>4</v>
      </c>
      <c r="B9" s="1" t="s">
        <v>37</v>
      </c>
      <c r="C9" s="23">
        <v>140</v>
      </c>
      <c r="D9" s="1" t="s">
        <v>4</v>
      </c>
      <c r="E9" s="25">
        <f>40*dol</f>
        <v>162000</v>
      </c>
      <c r="F9" s="6">
        <f t="shared" si="0"/>
        <v>22680000</v>
      </c>
      <c r="H9" t="s">
        <v>26</v>
      </c>
    </row>
    <row r="10" spans="1:11" x14ac:dyDescent="0.3">
      <c r="A10" s="23">
        <v>5</v>
      </c>
      <c r="B10" s="32" t="s">
        <v>43</v>
      </c>
      <c r="C10" s="33">
        <v>1</v>
      </c>
      <c r="D10" s="32" t="s">
        <v>18</v>
      </c>
      <c r="E10" s="31">
        <f>30000*dol</f>
        <v>121500000</v>
      </c>
      <c r="F10" s="6">
        <f t="shared" si="0"/>
        <v>121500000</v>
      </c>
      <c r="H10" t="s">
        <v>27</v>
      </c>
    </row>
    <row r="11" spans="1:11" x14ac:dyDescent="0.3">
      <c r="A11" s="23">
        <v>6</v>
      </c>
      <c r="B11" s="1" t="s">
        <v>38</v>
      </c>
      <c r="C11" s="23">
        <v>1</v>
      </c>
      <c r="D11" s="1" t="s">
        <v>4</v>
      </c>
      <c r="E11" s="31">
        <f>10000*dol</f>
        <v>40500000</v>
      </c>
      <c r="F11" s="6">
        <f t="shared" ref="F11" si="1">+E11*C11</f>
        <v>40500000</v>
      </c>
      <c r="H11" t="s">
        <v>20</v>
      </c>
      <c r="J11" t="s">
        <v>32</v>
      </c>
    </row>
    <row r="12" spans="1:11" x14ac:dyDescent="0.3">
      <c r="A12" s="23">
        <v>7</v>
      </c>
      <c r="B12" s="1" t="s">
        <v>42</v>
      </c>
      <c r="C12" s="23">
        <v>4</v>
      </c>
      <c r="D12" s="1" t="s">
        <v>4</v>
      </c>
      <c r="E12" s="6">
        <f>2500*dol</f>
        <v>10125000</v>
      </c>
      <c r="F12" s="6">
        <f t="shared" si="0"/>
        <v>40500000</v>
      </c>
      <c r="H12" t="s">
        <v>30</v>
      </c>
    </row>
    <row r="13" spans="1:11" x14ac:dyDescent="0.3">
      <c r="A13" s="23">
        <v>8</v>
      </c>
      <c r="B13" s="1" t="s">
        <v>41</v>
      </c>
      <c r="C13" s="23">
        <v>2</v>
      </c>
      <c r="D13" s="1" t="s">
        <v>4</v>
      </c>
      <c r="E13" s="6">
        <f>3000*dol</f>
        <v>12150000</v>
      </c>
      <c r="F13" s="6">
        <f t="shared" si="0"/>
        <v>24300000</v>
      </c>
      <c r="H13" t="s">
        <v>33</v>
      </c>
    </row>
    <row r="14" spans="1:11" x14ac:dyDescent="0.3">
      <c r="A14" s="23">
        <v>9</v>
      </c>
      <c r="B14" s="1" t="s">
        <v>39</v>
      </c>
      <c r="C14" s="23">
        <v>1</v>
      </c>
      <c r="D14" s="1" t="s">
        <v>4</v>
      </c>
      <c r="E14" s="6">
        <f>761000000*0.12</f>
        <v>91320000</v>
      </c>
      <c r="F14" s="6">
        <f t="shared" si="0"/>
        <v>91320000</v>
      </c>
    </row>
    <row r="15" spans="1:11" x14ac:dyDescent="0.3">
      <c r="A15" s="23">
        <v>10</v>
      </c>
      <c r="B15" s="1" t="s">
        <v>40</v>
      </c>
      <c r="C15" s="23">
        <v>1</v>
      </c>
      <c r="D15" s="1" t="s">
        <v>4</v>
      </c>
      <c r="E15" s="6">
        <f>761000000*0.05</f>
        <v>38050000</v>
      </c>
      <c r="F15" s="6">
        <f t="shared" si="0"/>
        <v>38050000</v>
      </c>
    </row>
    <row r="16" spans="1:11" x14ac:dyDescent="0.3">
      <c r="A16" s="23">
        <v>11</v>
      </c>
      <c r="B16" s="1" t="s">
        <v>44</v>
      </c>
      <c r="C16" s="23">
        <v>1</v>
      </c>
      <c r="D16" s="1" t="s">
        <v>18</v>
      </c>
      <c r="E16" s="6">
        <f>4*5*8*2*70*dol</f>
        <v>90720000</v>
      </c>
      <c r="F16" s="6">
        <f t="shared" si="0"/>
        <v>90720000</v>
      </c>
      <c r="H16" t="s">
        <v>51</v>
      </c>
      <c r="J16">
        <v>15</v>
      </c>
      <c r="K16">
        <v>1</v>
      </c>
    </row>
    <row r="17" spans="1:11" x14ac:dyDescent="0.3">
      <c r="A17" s="23">
        <v>12</v>
      </c>
      <c r="B17" s="1" t="s">
        <v>48</v>
      </c>
      <c r="C17" s="23">
        <v>1</v>
      </c>
      <c r="D17" s="1" t="s">
        <v>4</v>
      </c>
      <c r="E17" s="31">
        <f>25500*dol</f>
        <v>103275000</v>
      </c>
      <c r="F17" s="6">
        <f t="shared" si="0"/>
        <v>103275000</v>
      </c>
      <c r="J17">
        <v>17</v>
      </c>
      <c r="K17">
        <v>2</v>
      </c>
    </row>
    <row r="18" spans="1:11" x14ac:dyDescent="0.3">
      <c r="A18" s="23">
        <v>13</v>
      </c>
      <c r="B18" s="26"/>
      <c r="C18" s="23"/>
      <c r="D18" s="1" t="s">
        <v>4</v>
      </c>
      <c r="E18" s="6"/>
      <c r="F18" s="6">
        <f t="shared" si="0"/>
        <v>0</v>
      </c>
      <c r="J18">
        <v>18</v>
      </c>
      <c r="K18">
        <v>3</v>
      </c>
    </row>
    <row r="19" spans="1:11" x14ac:dyDescent="0.3">
      <c r="A19" s="23">
        <v>14</v>
      </c>
      <c r="B19" s="26"/>
      <c r="C19" s="23"/>
      <c r="D19" s="1" t="s">
        <v>4</v>
      </c>
      <c r="E19" s="6"/>
      <c r="F19" s="6">
        <f t="shared" si="0"/>
        <v>0</v>
      </c>
    </row>
    <row r="20" spans="1:11" x14ac:dyDescent="0.3">
      <c r="A20" s="23">
        <v>15</v>
      </c>
      <c r="B20" s="26" t="s">
        <v>49</v>
      </c>
      <c r="C20" s="23"/>
      <c r="D20" s="1"/>
      <c r="E20" s="6"/>
      <c r="F20" s="6"/>
    </row>
    <row r="21" spans="1:11" x14ac:dyDescent="0.3">
      <c r="A21" s="23">
        <v>16</v>
      </c>
      <c r="B21" s="26"/>
      <c r="C21" s="23"/>
      <c r="D21" s="1"/>
      <c r="E21" s="6"/>
      <c r="F21" s="6"/>
    </row>
    <row r="22" spans="1:11" x14ac:dyDescent="0.3">
      <c r="A22" s="23"/>
      <c r="B22" s="1"/>
      <c r="C22" s="23"/>
      <c r="D22" s="1"/>
      <c r="E22" s="6"/>
      <c r="F22" s="6"/>
    </row>
    <row r="23" spans="1:11" x14ac:dyDescent="0.3">
      <c r="A23" s="23"/>
      <c r="B23" s="1"/>
      <c r="C23" s="23"/>
      <c r="D23" s="1"/>
      <c r="E23" s="6"/>
      <c r="F23" s="6"/>
    </row>
    <row r="24" spans="1:11" ht="15.6" x14ac:dyDescent="0.3">
      <c r="A24" s="8"/>
      <c r="B24" s="28" t="s">
        <v>8</v>
      </c>
      <c r="C24" s="24"/>
      <c r="D24" s="8"/>
      <c r="E24" s="9"/>
      <c r="F24" s="9"/>
      <c r="G24" s="35">
        <f>SUM(F6:F23)</f>
        <v>1187554000</v>
      </c>
    </row>
    <row r="25" spans="1:11" x14ac:dyDescent="0.3">
      <c r="A25" s="23">
        <v>1</v>
      </c>
      <c r="B25" s="1" t="s">
        <v>45</v>
      </c>
      <c r="C25" s="23">
        <v>1</v>
      </c>
      <c r="D25" s="1" t="s">
        <v>4</v>
      </c>
      <c r="E25" s="6">
        <f>+G24*0.02</f>
        <v>23751080</v>
      </c>
      <c r="F25" s="6">
        <f t="shared" ref="F25:F29" si="2">+E25*C25</f>
        <v>23751080</v>
      </c>
    </row>
    <row r="26" spans="1:11" x14ac:dyDescent="0.3">
      <c r="A26" s="23">
        <v>2</v>
      </c>
      <c r="B26" s="1" t="s">
        <v>47</v>
      </c>
      <c r="C26" s="23">
        <v>1</v>
      </c>
      <c r="D26" s="1" t="s">
        <v>4</v>
      </c>
      <c r="E26" s="6">
        <f>3*G24*0.01</f>
        <v>35626620</v>
      </c>
      <c r="F26" s="6">
        <f t="shared" si="2"/>
        <v>35626620</v>
      </c>
    </row>
    <row r="27" spans="1:11" x14ac:dyDescent="0.3">
      <c r="A27" s="23">
        <v>3</v>
      </c>
      <c r="B27" s="1" t="s">
        <v>46</v>
      </c>
      <c r="C27" s="23">
        <v>1</v>
      </c>
      <c r="D27" s="1" t="s">
        <v>4</v>
      </c>
      <c r="E27" s="6">
        <f>+G24*0.02</f>
        <v>23751080</v>
      </c>
      <c r="F27" s="6">
        <f t="shared" si="2"/>
        <v>23751080</v>
      </c>
    </row>
    <row r="28" spans="1:11" x14ac:dyDescent="0.3">
      <c r="A28" s="23">
        <v>4</v>
      </c>
      <c r="B28" s="1" t="s">
        <v>19</v>
      </c>
      <c r="C28" s="23">
        <v>1</v>
      </c>
      <c r="D28" s="1" t="s">
        <v>4</v>
      </c>
      <c r="E28" s="6">
        <f>+G24*0.015</f>
        <v>17813310</v>
      </c>
      <c r="F28" s="6">
        <f t="shared" si="2"/>
        <v>17813310</v>
      </c>
    </row>
    <row r="29" spans="1:11" x14ac:dyDescent="0.3">
      <c r="A29" s="23">
        <v>5</v>
      </c>
      <c r="B29" s="1" t="s">
        <v>50</v>
      </c>
      <c r="C29" s="23">
        <v>1</v>
      </c>
      <c r="D29" s="1" t="s">
        <v>4</v>
      </c>
      <c r="E29" s="6">
        <f>+G24*0.02</f>
        <v>23751080</v>
      </c>
      <c r="F29" s="6">
        <f t="shared" si="2"/>
        <v>23751080</v>
      </c>
    </row>
    <row r="30" spans="1:11" x14ac:dyDescent="0.3">
      <c r="A30" s="1"/>
      <c r="B30" s="1"/>
      <c r="C30" s="1"/>
      <c r="D30" s="1"/>
      <c r="E30" s="6"/>
      <c r="F30" s="6"/>
    </row>
    <row r="31" spans="1:11" x14ac:dyDescent="0.3">
      <c r="A31" s="1"/>
      <c r="B31" s="1"/>
      <c r="C31" s="1"/>
      <c r="D31" s="1"/>
      <c r="E31" s="6"/>
      <c r="F31" s="6"/>
    </row>
    <row r="32" spans="1:11" x14ac:dyDescent="0.3">
      <c r="A32" s="1"/>
      <c r="B32" s="1"/>
      <c r="C32" s="1"/>
      <c r="D32" s="1"/>
      <c r="E32" s="6"/>
      <c r="F32" s="6"/>
    </row>
    <row r="33" spans="1:6" x14ac:dyDescent="0.3">
      <c r="A33" s="1"/>
      <c r="B33" s="1"/>
      <c r="C33" s="1"/>
      <c r="D33" s="1"/>
      <c r="E33" s="6"/>
      <c r="F33" s="6"/>
    </row>
    <row r="34" spans="1:6" ht="15" thickBot="1" x14ac:dyDescent="0.35">
      <c r="A34" s="14"/>
      <c r="B34" s="14"/>
      <c r="C34" s="14"/>
      <c r="D34" s="14"/>
      <c r="E34" s="15"/>
      <c r="F34" s="15"/>
    </row>
    <row r="35" spans="1:6" ht="18.600000000000001" thickBot="1" x14ac:dyDescent="0.4">
      <c r="A35" s="16"/>
      <c r="B35" s="20" t="s">
        <v>14</v>
      </c>
      <c r="C35" s="17"/>
      <c r="D35" s="17"/>
      <c r="E35" s="17"/>
      <c r="F35" s="21">
        <f>SUM(F6:F34)</f>
        <v>1312247170</v>
      </c>
    </row>
    <row r="36" spans="1:6" ht="18.600000000000001" thickBot="1" x14ac:dyDescent="0.4">
      <c r="A36" s="19"/>
      <c r="B36" s="17" t="s">
        <v>15</v>
      </c>
      <c r="C36" s="18"/>
      <c r="D36" s="18"/>
      <c r="E36" s="18"/>
      <c r="F36" s="22">
        <f>+F35*0.19</f>
        <v>249326962.30000001</v>
      </c>
    </row>
    <row r="37" spans="1:6" ht="18.600000000000001" thickBot="1" x14ac:dyDescent="0.4">
      <c r="A37" s="19"/>
      <c r="B37" s="20" t="s">
        <v>16</v>
      </c>
      <c r="C37" s="18"/>
      <c r="D37" s="18"/>
      <c r="E37" s="18"/>
      <c r="F37" s="21">
        <f>+F35+F36</f>
        <v>1561574132.3</v>
      </c>
    </row>
  </sheetData>
  <mergeCells count="3">
    <mergeCell ref="A1:F1"/>
    <mergeCell ref="A3:F3"/>
    <mergeCell ref="A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M29"/>
  <sheetViews>
    <sheetView topLeftCell="B4" workbookViewId="0">
      <selection activeCell="G23" sqref="G23"/>
    </sheetView>
  </sheetViews>
  <sheetFormatPr baseColWidth="10" defaultRowHeight="14.4" x14ac:dyDescent="0.3"/>
  <cols>
    <col min="1" max="1" width="19.5546875" customWidth="1"/>
    <col min="3" max="3" width="11.88671875" bestFit="1" customWidth="1"/>
    <col min="5" max="5" width="18.33203125" bestFit="1" customWidth="1"/>
    <col min="7" max="7" width="16.6640625" bestFit="1" customWidth="1"/>
    <col min="9" max="11" width="18.33203125" bestFit="1" customWidth="1"/>
    <col min="13" max="13" width="18.33203125" bestFit="1" customWidth="1"/>
  </cols>
  <sheetData>
    <row r="1" spans="1:13" ht="25.8" x14ac:dyDescent="0.5">
      <c r="A1" s="113" t="s">
        <v>52</v>
      </c>
      <c r="B1" s="113"/>
      <c r="C1" s="113"/>
      <c r="D1" s="113"/>
      <c r="E1" s="113"/>
      <c r="F1" s="113"/>
    </row>
    <row r="2" spans="1:13" ht="25.8" x14ac:dyDescent="0.5">
      <c r="A2" s="113" t="s">
        <v>10</v>
      </c>
      <c r="B2" s="113"/>
      <c r="C2" s="113"/>
      <c r="D2" s="113"/>
      <c r="E2" s="113"/>
      <c r="F2" s="113"/>
    </row>
    <row r="4" spans="1:13" ht="18" x14ac:dyDescent="0.35">
      <c r="A4" s="10" t="s">
        <v>11</v>
      </c>
      <c r="E4" s="38">
        <f>+COSTOS!F37</f>
        <v>1561574132.3</v>
      </c>
      <c r="G4" s="37" t="s">
        <v>53</v>
      </c>
      <c r="M4" s="41">
        <f>+E4*0.85</f>
        <v>1327338012.4549999</v>
      </c>
    </row>
    <row r="13" spans="1:13" x14ac:dyDescent="0.3">
      <c r="G13" s="39" t="s">
        <v>58</v>
      </c>
    </row>
    <row r="14" spans="1:13" ht="18" x14ac:dyDescent="0.35">
      <c r="A14" s="11" t="s">
        <v>12</v>
      </c>
      <c r="E14" t="s">
        <v>60</v>
      </c>
      <c r="G14" s="38">
        <v>200000</v>
      </c>
      <c r="H14">
        <v>12</v>
      </c>
      <c r="I14" s="38">
        <f>+G14*H14</f>
        <v>2400000</v>
      </c>
      <c r="M14" s="41">
        <f>+(E4-M4)/M4</f>
        <v>0.17647058823529416</v>
      </c>
    </row>
    <row r="15" spans="1:13" x14ac:dyDescent="0.3">
      <c r="E15" t="s">
        <v>54</v>
      </c>
      <c r="I15" s="38">
        <f t="shared" ref="I15:I20" si="0">+G15*H15</f>
        <v>0</v>
      </c>
    </row>
    <row r="16" spans="1:13" x14ac:dyDescent="0.3">
      <c r="E16" t="s">
        <v>61</v>
      </c>
      <c r="G16" s="38">
        <v>2000000</v>
      </c>
      <c r="H16">
        <v>12</v>
      </c>
      <c r="I16" s="38">
        <f t="shared" si="0"/>
        <v>24000000</v>
      </c>
    </row>
    <row r="17" spans="1:11" x14ac:dyDescent="0.3">
      <c r="E17" t="s">
        <v>55</v>
      </c>
      <c r="I17" s="38">
        <f t="shared" si="0"/>
        <v>0</v>
      </c>
    </row>
    <row r="18" spans="1:11" x14ac:dyDescent="0.3">
      <c r="E18" t="s">
        <v>56</v>
      </c>
      <c r="I18" s="38">
        <f t="shared" si="0"/>
        <v>0</v>
      </c>
    </row>
    <row r="19" spans="1:11" x14ac:dyDescent="0.3">
      <c r="E19" t="s">
        <v>57</v>
      </c>
      <c r="G19" s="38">
        <v>20000000</v>
      </c>
      <c r="H19">
        <v>12</v>
      </c>
      <c r="I19" s="38">
        <f t="shared" si="0"/>
        <v>240000000</v>
      </c>
    </row>
    <row r="20" spans="1:11" x14ac:dyDescent="0.3">
      <c r="E20" t="s">
        <v>59</v>
      </c>
      <c r="G20" s="38">
        <v>30000000</v>
      </c>
      <c r="H20">
        <v>12</v>
      </c>
      <c r="I20">
        <f t="shared" si="0"/>
        <v>360000000</v>
      </c>
    </row>
    <row r="21" spans="1:11" x14ac:dyDescent="0.3">
      <c r="I21" s="40">
        <f>SUM(I14:I20)</f>
        <v>626400000</v>
      </c>
      <c r="J21" s="40">
        <f>+I21*1.1</f>
        <v>689040000</v>
      </c>
      <c r="K21" s="40">
        <f>+J21*1.1</f>
        <v>757944000.00000012</v>
      </c>
    </row>
    <row r="23" spans="1:11" ht="18" x14ac:dyDescent="0.35">
      <c r="A23" s="12" t="s">
        <v>9</v>
      </c>
      <c r="C23" t="s">
        <v>17</v>
      </c>
      <c r="I23" s="42">
        <f>+(I21-E4)/E4</f>
        <v>-0.59886630609243474</v>
      </c>
      <c r="J23" s="42">
        <f>+((I21+J21)-E4)/E4</f>
        <v>-0.15761924279411296</v>
      </c>
      <c r="K23" s="42">
        <f>(SUM(I21:K21)-E4)/E4</f>
        <v>0.32775252683404099</v>
      </c>
    </row>
    <row r="24" spans="1:11" ht="18" x14ac:dyDescent="0.35">
      <c r="A24" s="12"/>
    </row>
    <row r="25" spans="1:11" ht="18" x14ac:dyDescent="0.35">
      <c r="A25" s="12"/>
    </row>
    <row r="26" spans="1:11" ht="18" x14ac:dyDescent="0.35">
      <c r="A26" s="12"/>
    </row>
    <row r="29" spans="1:11" ht="72" x14ac:dyDescent="0.35">
      <c r="A29" s="13" t="s">
        <v>13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ROI (3)</vt:lpstr>
      <vt:lpstr>COSTOS (3)</vt:lpstr>
      <vt:lpstr>ROI (2)</vt:lpstr>
      <vt:lpstr>COSTOS (2)</vt:lpstr>
      <vt:lpstr>COSTOS</vt:lpstr>
      <vt:lpstr>ROI</vt:lpstr>
      <vt:lpstr>Hoja3</vt:lpstr>
      <vt:lpstr>'COSTOS (2)'!dol</vt:lpstr>
      <vt:lpstr>'COSTOS (3)'!dol</vt:lpstr>
      <vt:lpstr>dol</vt:lpstr>
      <vt:lpstr>IMP</vt:lpstr>
      <vt:lpstr>'COSTOS (2)'!mar</vt:lpstr>
      <vt:lpstr>'COSTOS (3)'!mar</vt:lpstr>
      <vt:lpstr>mar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Hernández G.</dc:creator>
  <cp:lastModifiedBy>Jairo Hernández Gutiérrez</cp:lastModifiedBy>
  <dcterms:created xsi:type="dcterms:W3CDTF">2020-05-14T22:02:16Z</dcterms:created>
  <dcterms:modified xsi:type="dcterms:W3CDTF">2021-04-16T23:44:54Z</dcterms:modified>
</cp:coreProperties>
</file>