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508" activeTab="0"/>
  </bookViews>
  <sheets>
    <sheet name="Diseño cat. 6A" sheetId="1" r:id="rId1"/>
    <sheet name="IND" sheetId="2" r:id="rId2"/>
  </sheets>
  <definedNames>
    <definedName name="_xlnm.Print_Area" localSheetId="0">'Diseño cat. 6A'!$A$1:$Y$84</definedName>
    <definedName name="DISTANCIA">#REF!</definedName>
    <definedName name="DISTANCIA1">#REF!</definedName>
    <definedName name="do">'IND'!$B$3</definedName>
    <definedName name="mm">'IND'!$B$1</definedName>
    <definedName name="mmo">'IND'!$B$2</definedName>
    <definedName name="VALOR">#REF!</definedName>
    <definedName name="VALORN">#REF!</definedName>
    <definedName name="VALORREG">#REF!</definedName>
  </definedNames>
  <calcPr fullCalcOnLoad="1"/>
</workbook>
</file>

<file path=xl/comments1.xml><?xml version="1.0" encoding="utf-8"?>
<comments xmlns="http://schemas.openxmlformats.org/spreadsheetml/2006/main">
  <authors>
    <author>Jairo Hern?ndez</author>
  </authors>
  <commentList>
    <comment ref="B20" authorId="0">
      <text>
        <r>
          <rPr>
            <b/>
            <sz val="9"/>
            <rFont val="Tahoma"/>
            <family val="2"/>
          </rPr>
          <t>Jairo Hernández:</t>
        </r>
        <r>
          <rPr>
            <sz val="9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9"/>
            <rFont val="Tahoma"/>
            <family val="2"/>
          </rPr>
          <t>Jairo Hernández:</t>
        </r>
        <r>
          <rPr>
            <sz val="9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9"/>
            <rFont val="Tahoma"/>
            <family val="2"/>
          </rPr>
          <t>Jairo Hernández: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<sst xmlns="http://schemas.openxmlformats.org/spreadsheetml/2006/main" count="159" uniqueCount="100">
  <si>
    <t xml:space="preserve"> </t>
  </si>
  <si>
    <t>DESCRIPCION</t>
  </si>
  <si>
    <t>Unid</t>
  </si>
  <si>
    <t>UN</t>
  </si>
  <si>
    <t>SALIDAS DE INFORMACION</t>
  </si>
  <si>
    <t>MARCACIONES DE TOMAS</t>
  </si>
  <si>
    <t>CABLE</t>
  </si>
  <si>
    <t>DOCUMENTACION Y PLANOS</t>
  </si>
  <si>
    <t>PATCH PANEL CAT 6</t>
  </si>
  <si>
    <t xml:space="preserve">PATCH CORD </t>
  </si>
  <si>
    <t>ML</t>
  </si>
  <si>
    <t>CAJAS DE PASO</t>
  </si>
  <si>
    <t>CAJA DE PASO 15X15X10 CMS</t>
  </si>
  <si>
    <t>TUBERIA METALICA EMT</t>
  </si>
  <si>
    <t>SUBTOTAL CABLEADO ESTRUCTURADO</t>
  </si>
  <si>
    <t>Cant.
Total</t>
  </si>
  <si>
    <t>FIBRA OPTICA</t>
  </si>
  <si>
    <t xml:space="preserve">CONECTORES </t>
  </si>
  <si>
    <t>PUNTOS DE CONSOLIDACION</t>
  </si>
  <si>
    <t>mm</t>
  </si>
  <si>
    <t>mmo</t>
  </si>
  <si>
    <t>do</t>
  </si>
  <si>
    <t>MATERIAL</t>
  </si>
  <si>
    <t>MANO DE OBRA</t>
  </si>
  <si>
    <t xml:space="preserve">Valor
Unitario </t>
  </si>
  <si>
    <t>MAT</t>
  </si>
  <si>
    <t>MO</t>
  </si>
  <si>
    <t>CAJA METALICA 
PARA PUNTO DE CONSOLIDACION</t>
  </si>
  <si>
    <t>ITEM</t>
  </si>
  <si>
    <t>ESTACION DE TRABAJO</t>
  </si>
  <si>
    <t>CABLEADO HORIZONTAL</t>
  </si>
  <si>
    <t>ADMINISTRACION</t>
  </si>
  <si>
    <t>305M</t>
  </si>
  <si>
    <t>BANDEJAS DE FIBRA</t>
  </si>
  <si>
    <t>CERTIFICACION Y MARCACIONES</t>
  </si>
  <si>
    <t>GBL</t>
  </si>
  <si>
    <t>OBRAS CIVILES MENORES</t>
  </si>
  <si>
    <t>SUBSISTEMA DE CANALIZACIONES</t>
  </si>
  <si>
    <t>OTROS</t>
  </si>
  <si>
    <t>BANDEJA PORTACABLES</t>
  </si>
  <si>
    <t>Precio Total</t>
  </si>
  <si>
    <t>PUNTO DE CONSOLIDACION</t>
  </si>
  <si>
    <t>TUBO METALICO EMT DE 1 "  CON ACCESORIOS</t>
  </si>
  <si>
    <t>TROQUELES DE DATOS</t>
  </si>
  <si>
    <t xml:space="preserve">GABINETES CERRADOS </t>
  </si>
  <si>
    <t>TOTAL</t>
  </si>
  <si>
    <t>REF.</t>
  </si>
  <si>
    <t>MARCA</t>
  </si>
  <si>
    <t xml:space="preserve">ORGANIZADOR VERTICAL  DE CABLES </t>
  </si>
  <si>
    <t>CANALETA METALICA  12x5CM CON DIVISION, INCLUIDOS ACCESORIOS</t>
  </si>
  <si>
    <t>PISO 1</t>
  </si>
  <si>
    <t>PISO 2</t>
  </si>
  <si>
    <t>PISO 3</t>
  </si>
  <si>
    <t>CORAZA METALICA</t>
  </si>
  <si>
    <t>CORAZA METALICA DE 1 "  CON ACCESORIOS</t>
  </si>
  <si>
    <t>PISO 4</t>
  </si>
  <si>
    <t>CERTIFICACIÓN DE CATEGORIA 6A</t>
  </si>
  <si>
    <t xml:space="preserve"> PATCH PANEL 24 PUERTOS RJ45 CAT 6A</t>
  </si>
  <si>
    <t>PATCH PANEL 48 PUERTOS RJ45 CAT 6A</t>
  </si>
  <si>
    <t>LISTA DE CANTIDADES</t>
  </si>
  <si>
    <t>FACEPLATE  DOS SERVICIOS</t>
  </si>
  <si>
    <t>JACK RJ45 CAT 6 A</t>
  </si>
  <si>
    <t xml:space="preserve">PROYECTO: SISTEMA DE CABLEADO ESTRUCTURADO </t>
  </si>
  <si>
    <t>EDIFICIO A</t>
  </si>
  <si>
    <t>EDIFICIO B</t>
  </si>
  <si>
    <t>PISO 5</t>
  </si>
  <si>
    <t>BACKBONE DE CAMPUS</t>
  </si>
  <si>
    <t>FIBRA OPTICA DE 12 HILOS 50/125  OM4 TIGH BUFFER</t>
  </si>
  <si>
    <t>PATCH CORD LC-LC, 2M</t>
  </si>
  <si>
    <t>PATCH CORD LC-X , 2M</t>
  </si>
  <si>
    <t>FIBRA OPTICA DE 12 HILOS OS2 LOOSE TUBE</t>
  </si>
  <si>
    <t>CONECTORES LC MONOMODO</t>
  </si>
  <si>
    <t>CONECTORES LC MULTIMODO</t>
  </si>
  <si>
    <t>CONECTORES LC MM</t>
  </si>
  <si>
    <t>PISO1</t>
  </si>
  <si>
    <t>PISO2</t>
  </si>
  <si>
    <t>EDIFICIO C</t>
  </si>
  <si>
    <t>FIBRA OPTICA DE 12 HILOS 50/125  OM4 LOOSE TUBE</t>
  </si>
  <si>
    <t>BANDEJA DE FIBRA DE 36 CONECTORES LC VACIA</t>
  </si>
  <si>
    <t>MODULO 12 CONECTORES LC MM</t>
  </si>
  <si>
    <t>MODULO 12 CONECTORES LC SM</t>
  </si>
  <si>
    <t>PATCH CORD LC-LC, 2M, OM4</t>
  </si>
  <si>
    <t>PATCH CORD LC-LC, 2M, SM</t>
  </si>
  <si>
    <t>BANDEJA  PORTACABLES TIPO MALLA 20x6CM, CON ACCESORIOS</t>
  </si>
  <si>
    <r>
      <t xml:space="preserve">CABLE UTP 4PR </t>
    </r>
    <r>
      <rPr>
        <b/>
        <sz val="11"/>
        <color indexed="8"/>
        <rFont val="Arial"/>
        <family val="2"/>
      </rPr>
      <t>CATEGORIA 6A</t>
    </r>
    <r>
      <rPr>
        <sz val="11"/>
        <color indexed="8"/>
        <rFont val="Arial"/>
        <family val="2"/>
      </rPr>
      <t xml:space="preserve"> LSZH (Caja)</t>
    </r>
  </si>
  <si>
    <t>BACKBONE DE DATOS DE EDIFICIO</t>
  </si>
  <si>
    <t>BANDEJA  PORTACABLES TIPO MALLA 30x6CM, CON ACCESORIOS</t>
  </si>
  <si>
    <t>SOLUCIÓN CATEGORIA 6A</t>
  </si>
  <si>
    <t>GRUPO: 241</t>
  </si>
  <si>
    <t>IVA  19%</t>
  </si>
  <si>
    <t>ORGANIZADOR HORIZONTAL DE CABLES 1U</t>
  </si>
  <si>
    <t>ORGANIZADOR HORIZONTAL DE CABLES 2U</t>
  </si>
  <si>
    <t>CLIENTE:  ARQUEA</t>
  </si>
  <si>
    <t>CABLE DE PATCH UTP CAT 6 A, 5 PIES</t>
  </si>
  <si>
    <t>TIERRA DE TELECOMUNICACIONES</t>
  </si>
  <si>
    <t xml:space="preserve">PATCH CORD PARA ESTACION DE TRABAJO RJ45/RJ45, 4PR, CAT 6A, 7 PIES </t>
  </si>
  <si>
    <t>CABLE 6AWG</t>
  </si>
  <si>
    <t>BARRAJE DE PUESTA A TIERRA TGB</t>
  </si>
  <si>
    <t>BARRAJE DE PUESTA A TIERRA PRINCIPAL MTGB</t>
  </si>
  <si>
    <t>GABINETE ESTRUCTURAL DE 42 U,  incluye 2 ventiladores y multitoma de rack leviton con 8 servicios y polo a tierra aislado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</si>
</sst>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_ * #,##0_)&quot;Pts&quot;_ ;_ * \(#,##0\)&quot;Pts&quot;_ ;_ * &quot;-&quot;_)&quot;Pts&quot;_ ;_ @_ "/>
    <numFmt numFmtId="209" formatCode="_ * #,##0_)_P_t_s_ ;_ * \(#,##0\)_P_t_s_ ;_ * &quot;-&quot;_)_P_t_s_ ;_ @_ "/>
    <numFmt numFmtId="210" formatCode="_ * #,##0.00_)&quot;Pts&quot;_ ;_ * \(#,##0.00\)&quot;Pts&quot;_ ;_ * &quot;-&quot;??_)&quot;Pts&quot;_ ;_ @_ "/>
    <numFmt numFmtId="211" formatCode="_ * #,##0.00_)_P_t_s_ ;_ * \(#,##0.00\)_P_t_s_ ;_ * &quot;-&quot;??_)_P_t_s_ ;_ @_ "/>
    <numFmt numFmtId="212" formatCode="&quot;$&quot;#,##0.00"/>
    <numFmt numFmtId="213" formatCode="&quot;$&quot;#,##0"/>
    <numFmt numFmtId="214" formatCode="_(&quot;$&quot;* #,##0_);_(&quot;$&quot;* \(#,##0\);_(&quot;$&quot;* &quot;-&quot;??_);_(@_)"/>
    <numFmt numFmtId="215" formatCode="[$$-240A]\ #,##0.00"/>
    <numFmt numFmtId="216" formatCode="[$$-240A]\ #,##0"/>
    <numFmt numFmtId="217" formatCode="[$$-2C0A]\ #,##0"/>
    <numFmt numFmtId="218" formatCode="[$$-2C0A]\ #,##0.00"/>
    <numFmt numFmtId="219" formatCode="_(&quot;$&quot;* #,##0.0_);_(&quot;$&quot;* \(#,##0.0\);_(&quot;$&quot;* &quot;-&quot;??_);_(@_)"/>
    <numFmt numFmtId="220" formatCode="&quot;Sí&quot;;&quot;Sí&quot;;&quot;No&quot;"/>
    <numFmt numFmtId="221" formatCode="&quot;Verdadero&quot;;&quot;Verdadero&quot;;&quot;Falso&quot;"/>
    <numFmt numFmtId="222" formatCode="&quot;Activado&quot;;&quot;Activado&quot;;&quot;Desactivado&quot;"/>
    <numFmt numFmtId="223" formatCode="[$$-240A]\ #,##0.000"/>
    <numFmt numFmtId="224" formatCode="[$$-240A]\ #,##0.0"/>
    <numFmt numFmtId="225" formatCode="_ * #,##0.0_)_P_t_s_ ;_ * \(#,##0.0\)_P_t_s_ ;_ * &quot;-&quot;??_)_P_t_s_ ;_ @_ "/>
    <numFmt numFmtId="226" formatCode="_ * #,##0_)_P_t_s_ ;_ * \(#,##0\)_P_t_s_ ;_ * &quot;-&quot;??_)_P_t_s_ ;_ @_ 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EF1F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53">
    <xf numFmtId="0" fontId="0" fillId="0" borderId="0" xfId="0" applyAlignment="1">
      <alignment/>
    </xf>
    <xf numFmtId="199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99" fontId="7" fillId="0" borderId="0" xfId="0" applyNumberFormat="1" applyFont="1" applyAlignment="1">
      <alignment/>
    </xf>
    <xf numFmtId="199" fontId="6" fillId="0" borderId="0" xfId="0" applyNumberFormat="1" applyFont="1" applyAlignment="1">
      <alignment wrapText="1"/>
    </xf>
    <xf numFmtId="199" fontId="9" fillId="0" borderId="10" xfId="0" applyNumberFormat="1" applyFont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center" vertical="center"/>
    </xf>
    <xf numFmtId="211" fontId="0" fillId="0" borderId="0" xfId="49" applyAlignment="1">
      <alignment/>
    </xf>
    <xf numFmtId="0" fontId="1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2" fillId="33" borderId="11" xfId="0" applyNumberFormat="1" applyFont="1" applyFill="1" applyBorder="1" applyAlignment="1">
      <alignment horizontal="center" vertical="center"/>
    </xf>
    <xf numFmtId="199" fontId="12" fillId="33" borderId="12" xfId="0" applyNumberFormat="1" applyFont="1" applyFill="1" applyBorder="1" applyAlignment="1">
      <alignment horizontal="center" vertical="center" wrapText="1"/>
    </xf>
    <xf numFmtId="199" fontId="12" fillId="33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NumberFormat="1" applyFont="1" applyAlignment="1">
      <alignment/>
    </xf>
    <xf numFmtId="199" fontId="10" fillId="0" borderId="0" xfId="0" applyNumberFormat="1" applyFont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199" fontId="10" fillId="0" borderId="0" xfId="0" applyNumberFormat="1" applyFont="1" applyAlignment="1">
      <alignment wrapText="1"/>
    </xf>
    <xf numFmtId="199" fontId="8" fillId="0" borderId="0" xfId="0" applyNumberFormat="1" applyFont="1" applyAlignment="1">
      <alignment/>
    </xf>
    <xf numFmtId="0" fontId="12" fillId="0" borderId="15" xfId="0" applyNumberFormat="1" applyFont="1" applyFill="1" applyBorder="1" applyAlignment="1">
      <alignment horizontal="center" vertical="center"/>
    </xf>
    <xf numFmtId="199" fontId="17" fillId="0" borderId="16" xfId="0" applyNumberFormat="1" applyFont="1" applyFill="1" applyBorder="1" applyAlignment="1">
      <alignment horizontal="left" vertical="center" wrapText="1"/>
    </xf>
    <xf numFmtId="199" fontId="18" fillId="0" borderId="16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/>
    </xf>
    <xf numFmtId="199" fontId="17" fillId="0" borderId="10" xfId="0" applyNumberFormat="1" applyFont="1" applyBorder="1" applyAlignment="1">
      <alignment horizontal="left" vertical="center" wrapText="1"/>
    </xf>
    <xf numFmtId="199" fontId="8" fillId="0" borderId="10" xfId="0" applyNumberFormat="1" applyFont="1" applyBorder="1" applyAlignment="1" quotePrefix="1">
      <alignment horizontal="center" vertical="center"/>
    </xf>
    <xf numFmtId="199" fontId="8" fillId="0" borderId="10" xfId="0" applyNumberFormat="1" applyFont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/>
    </xf>
    <xf numFmtId="199" fontId="8" fillId="0" borderId="10" xfId="0" applyNumberFormat="1" applyFont="1" applyBorder="1" applyAlignment="1">
      <alignment horizontal="left" vertical="center" wrapText="1"/>
    </xf>
    <xf numFmtId="199" fontId="10" fillId="0" borderId="10" xfId="0" applyNumberFormat="1" applyFont="1" applyFill="1" applyBorder="1" applyAlignment="1">
      <alignment horizontal="left" vertical="center" wrapText="1"/>
    </xf>
    <xf numFmtId="199" fontId="8" fillId="0" borderId="10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left" vertical="center" wrapText="1"/>
    </xf>
    <xf numFmtId="0" fontId="8" fillId="0" borderId="17" xfId="0" applyFont="1" applyBorder="1" applyAlignment="1" quotePrefix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99" fontId="10" fillId="34" borderId="20" xfId="0" applyNumberFormat="1" applyFont="1" applyFill="1" applyBorder="1" applyAlignment="1">
      <alignment vertical="center"/>
    </xf>
    <xf numFmtId="199" fontId="11" fillId="34" borderId="21" xfId="0" applyNumberFormat="1" applyFont="1" applyFill="1" applyBorder="1" applyAlignment="1">
      <alignment vertical="center" wrapText="1"/>
    </xf>
    <xf numFmtId="199" fontId="10" fillId="34" borderId="21" xfId="0" applyNumberFormat="1" applyFont="1" applyFill="1" applyBorder="1" applyAlignment="1">
      <alignment vertical="center"/>
    </xf>
    <xf numFmtId="216" fontId="10" fillId="34" borderId="21" xfId="0" applyNumberFormat="1" applyFont="1" applyFill="1" applyBorder="1" applyAlignment="1">
      <alignment vertical="center"/>
    </xf>
    <xf numFmtId="0" fontId="14" fillId="0" borderId="0" xfId="0" applyNumberFormat="1" applyFont="1" applyAlignment="1">
      <alignment/>
    </xf>
    <xf numFmtId="216" fontId="14" fillId="34" borderId="22" xfId="0" applyNumberFormat="1" applyFont="1" applyFill="1" applyBorder="1" applyAlignment="1">
      <alignment horizontal="right" vertical="center"/>
    </xf>
    <xf numFmtId="199" fontId="14" fillId="34" borderId="21" xfId="0" applyNumberFormat="1" applyFont="1" applyFill="1" applyBorder="1" applyAlignment="1">
      <alignment vertical="center" wrapText="1"/>
    </xf>
    <xf numFmtId="199" fontId="7" fillId="0" borderId="0" xfId="0" applyNumberFormat="1" applyFont="1" applyAlignment="1">
      <alignment wrapText="1"/>
    </xf>
    <xf numFmtId="199" fontId="17" fillId="0" borderId="10" xfId="0" applyNumberFormat="1" applyFont="1" applyBorder="1" applyAlignment="1" quotePrefix="1">
      <alignment horizontal="left" vertical="center" wrapText="1"/>
    </xf>
    <xf numFmtId="19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 quotePrefix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quotePrefix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 quotePrefix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2" fillId="0" borderId="14" xfId="0" applyNumberFormat="1" applyFont="1" applyFill="1" applyBorder="1" applyAlignment="1">
      <alignment horizontal="center" vertical="center"/>
    </xf>
    <xf numFmtId="199" fontId="8" fillId="0" borderId="17" xfId="0" applyNumberFormat="1" applyFont="1" applyFill="1" applyBorder="1" applyAlignment="1">
      <alignment horizontal="left" vertical="center" wrapText="1"/>
    </xf>
    <xf numFmtId="1" fontId="8" fillId="0" borderId="17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199" fontId="12" fillId="35" borderId="12" xfId="0" applyNumberFormat="1" applyFont="1" applyFill="1" applyBorder="1" applyAlignment="1">
      <alignment horizontal="center" vertical="center" wrapText="1"/>
    </xf>
    <xf numFmtId="199" fontId="12" fillId="0" borderId="16" xfId="0" applyNumberFormat="1" applyFont="1" applyFill="1" applyBorder="1" applyAlignment="1">
      <alignment horizontal="left" vertical="center" wrapText="1"/>
    </xf>
    <xf numFmtId="199" fontId="13" fillId="0" borderId="10" xfId="0" applyNumberFormat="1" applyFont="1" applyBorder="1" applyAlignment="1" quotePrefix="1">
      <alignment horizontal="left" vertical="center" wrapText="1"/>
    </xf>
    <xf numFmtId="199" fontId="12" fillId="0" borderId="10" xfId="0" applyNumberFormat="1" applyFont="1" applyBorder="1" applyAlignment="1">
      <alignment horizontal="left" vertical="center" wrapText="1"/>
    </xf>
    <xf numFmtId="199" fontId="13" fillId="0" borderId="10" xfId="0" applyNumberFormat="1" applyFont="1" applyBorder="1" applyAlignment="1">
      <alignment horizontal="left" vertical="center" wrapText="1"/>
    </xf>
    <xf numFmtId="199" fontId="12" fillId="0" borderId="10" xfId="0" applyNumberFormat="1" applyFont="1" applyBorder="1" applyAlignment="1" quotePrefix="1">
      <alignment horizontal="left" vertical="center" wrapText="1"/>
    </xf>
    <xf numFmtId="199" fontId="13" fillId="0" borderId="10" xfId="0" applyNumberFormat="1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quotePrefix="1">
      <alignment horizontal="left" vertical="center" wrapText="1"/>
    </xf>
    <xf numFmtId="0" fontId="13" fillId="0" borderId="10" xfId="0" applyFont="1" applyBorder="1" applyAlignment="1" quotePrefix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 quotePrefix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199" fontId="12" fillId="0" borderId="16" xfId="0" applyNumberFormat="1" applyFont="1" applyFill="1" applyBorder="1" applyAlignment="1">
      <alignment horizontal="center" vertical="center"/>
    </xf>
    <xf numFmtId="199" fontId="13" fillId="0" borderId="10" xfId="0" applyNumberFormat="1" applyFont="1" applyBorder="1" applyAlignment="1">
      <alignment horizontal="center" vertical="center"/>
    </xf>
    <xf numFmtId="199" fontId="13" fillId="0" borderId="10" xfId="0" applyNumberFormat="1" applyFont="1" applyBorder="1" applyAlignment="1" quotePrefix="1">
      <alignment horizontal="center" vertical="center"/>
    </xf>
    <xf numFmtId="199" fontId="21" fillId="0" borderId="10" xfId="0" applyNumberFormat="1" applyFont="1" applyBorder="1" applyAlignment="1">
      <alignment horizontal="center" vertical="center"/>
    </xf>
    <xf numFmtId="199" fontId="13" fillId="0" borderId="10" xfId="0" applyNumberFormat="1" applyFont="1" applyBorder="1" applyAlignment="1">
      <alignment horizontal="center" vertical="center" wrapText="1"/>
    </xf>
    <xf numFmtId="199" fontId="13" fillId="0" borderId="10" xfId="0" applyNumberFormat="1" applyFont="1" applyFill="1" applyBorder="1" applyAlignment="1">
      <alignment horizontal="center" vertical="center"/>
    </xf>
    <xf numFmtId="199" fontId="13" fillId="0" borderId="17" xfId="0" applyNumberFormat="1" applyFont="1" applyFill="1" applyBorder="1" applyAlignment="1">
      <alignment horizontal="center" vertical="center"/>
    </xf>
    <xf numFmtId="0" fontId="13" fillId="0" borderId="17" xfId="0" applyFont="1" applyBorder="1" applyAlignment="1" quotePrefix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226" fontId="13" fillId="0" borderId="10" xfId="49" applyNumberFormat="1" applyFont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99" fontId="12" fillId="14" borderId="12" xfId="0" applyNumberFormat="1" applyFont="1" applyFill="1" applyBorder="1" applyAlignment="1">
      <alignment horizontal="center" vertical="center" wrapText="1"/>
    </xf>
    <xf numFmtId="1" fontId="13" fillId="0" borderId="17" xfId="0" applyNumberFormat="1" applyFont="1" applyBorder="1" applyAlignment="1">
      <alignment horizontal="center" vertical="center"/>
    </xf>
    <xf numFmtId="199" fontId="12" fillId="36" borderId="21" xfId="0" applyNumberFormat="1" applyFont="1" applyFill="1" applyBorder="1" applyAlignment="1">
      <alignment vertical="center" wrapText="1"/>
    </xf>
    <xf numFmtId="0" fontId="14" fillId="33" borderId="12" xfId="0" applyNumberFormat="1" applyFont="1" applyFill="1" applyBorder="1" applyAlignment="1">
      <alignment horizontal="center" vertical="center" wrapText="1"/>
    </xf>
    <xf numFmtId="0" fontId="12" fillId="37" borderId="12" xfId="0" applyNumberFormat="1" applyFont="1" applyFill="1" applyBorder="1" applyAlignment="1">
      <alignment horizontal="center" vertical="center" wrapText="1"/>
    </xf>
    <xf numFmtId="199" fontId="12" fillId="37" borderId="12" xfId="0" applyNumberFormat="1" applyFont="1" applyFill="1" applyBorder="1" applyAlignment="1">
      <alignment horizontal="center" vertical="center" wrapText="1"/>
    </xf>
    <xf numFmtId="199" fontId="12" fillId="37" borderId="23" xfId="0" applyNumberFormat="1" applyFont="1" applyFill="1" applyBorder="1" applyAlignment="1">
      <alignment horizontal="center" vertical="center" wrapText="1"/>
    </xf>
    <xf numFmtId="0" fontId="18" fillId="37" borderId="16" xfId="0" applyNumberFormat="1" applyFont="1" applyFill="1" applyBorder="1" applyAlignment="1">
      <alignment horizontal="center" vertical="center" wrapText="1"/>
    </xf>
    <xf numFmtId="199" fontId="18" fillId="37" borderId="16" xfId="0" applyNumberFormat="1" applyFont="1" applyFill="1" applyBorder="1" applyAlignment="1">
      <alignment horizontal="center" vertical="center" wrapText="1"/>
    </xf>
    <xf numFmtId="199" fontId="18" fillId="37" borderId="24" xfId="0" applyNumberFormat="1" applyFont="1" applyFill="1" applyBorder="1" applyAlignment="1">
      <alignment horizontal="center" vertical="center" wrapText="1"/>
    </xf>
    <xf numFmtId="216" fontId="8" fillId="37" borderId="10" xfId="0" applyNumberFormat="1" applyFont="1" applyFill="1" applyBorder="1" applyAlignment="1">
      <alignment horizontal="right" vertical="center"/>
    </xf>
    <xf numFmtId="216" fontId="8" fillId="37" borderId="25" xfId="0" applyNumberFormat="1" applyFont="1" applyFill="1" applyBorder="1" applyAlignment="1">
      <alignment horizontal="right" vertical="center"/>
    </xf>
    <xf numFmtId="216" fontId="10" fillId="37" borderId="10" xfId="0" applyNumberFormat="1" applyFont="1" applyFill="1" applyBorder="1" applyAlignment="1">
      <alignment horizontal="right" vertical="center"/>
    </xf>
    <xf numFmtId="216" fontId="10" fillId="37" borderId="25" xfId="0" applyNumberFormat="1" applyFont="1" applyFill="1" applyBorder="1" applyAlignment="1">
      <alignment horizontal="right" vertical="center"/>
    </xf>
    <xf numFmtId="216" fontId="8" fillId="37" borderId="17" xfId="0" applyNumberFormat="1" applyFont="1" applyFill="1" applyBorder="1" applyAlignment="1">
      <alignment horizontal="right" vertical="center"/>
    </xf>
    <xf numFmtId="216" fontId="8" fillId="37" borderId="26" xfId="0" applyNumberFormat="1" applyFont="1" applyFill="1" applyBorder="1" applyAlignment="1">
      <alignment horizontal="right" vertical="center"/>
    </xf>
    <xf numFmtId="216" fontId="10" fillId="37" borderId="17" xfId="0" applyNumberFormat="1" applyFont="1" applyFill="1" applyBorder="1" applyAlignment="1">
      <alignment horizontal="right" vertical="center"/>
    </xf>
    <xf numFmtId="216" fontId="10" fillId="37" borderId="26" xfId="0" applyNumberFormat="1" applyFont="1" applyFill="1" applyBorder="1" applyAlignment="1">
      <alignment horizontal="right" vertical="center"/>
    </xf>
    <xf numFmtId="216" fontId="8" fillId="37" borderId="19" xfId="0" applyNumberFormat="1" applyFont="1" applyFill="1" applyBorder="1" applyAlignment="1">
      <alignment horizontal="right" vertical="center"/>
    </xf>
    <xf numFmtId="216" fontId="8" fillId="37" borderId="27" xfId="0" applyNumberFormat="1" applyFont="1" applyFill="1" applyBorder="1" applyAlignment="1">
      <alignment horizontal="right" vertical="center"/>
    </xf>
    <xf numFmtId="1" fontId="14" fillId="7" borderId="10" xfId="0" applyNumberFormat="1" applyFont="1" applyFill="1" applyBorder="1" applyAlignment="1">
      <alignment horizontal="center" vertical="center"/>
    </xf>
    <xf numFmtId="199" fontId="13" fillId="7" borderId="10" xfId="0" applyNumberFormat="1" applyFont="1" applyFill="1" applyBorder="1" applyAlignment="1">
      <alignment horizontal="center" vertical="center"/>
    </xf>
    <xf numFmtId="199" fontId="12" fillId="7" borderId="10" xfId="0" applyNumberFormat="1" applyFont="1" applyFill="1" applyBorder="1" applyAlignment="1">
      <alignment horizontal="left" vertical="center" wrapText="1"/>
    </xf>
    <xf numFmtId="199" fontId="13" fillId="7" borderId="10" xfId="0" applyNumberFormat="1" applyFont="1" applyFill="1" applyBorder="1" applyAlignment="1">
      <alignment horizontal="left" vertical="center" wrapText="1"/>
    </xf>
    <xf numFmtId="199" fontId="8" fillId="7" borderId="10" xfId="0" applyNumberFormat="1" applyFont="1" applyFill="1" applyBorder="1" applyAlignment="1">
      <alignment horizontal="left" vertical="center" wrapText="1"/>
    </xf>
    <xf numFmtId="199" fontId="12" fillId="14" borderId="12" xfId="0" applyNumberFormat="1" applyFont="1" applyFill="1" applyBorder="1" applyAlignment="1">
      <alignment horizontal="center" vertical="center"/>
    </xf>
    <xf numFmtId="199" fontId="12" fillId="12" borderId="28" xfId="0" applyNumberFormat="1" applyFont="1" applyFill="1" applyBorder="1" applyAlignment="1">
      <alignment horizontal="center" vertical="center"/>
    </xf>
    <xf numFmtId="216" fontId="11" fillId="34" borderId="21" xfId="0" applyNumberFormat="1" applyFont="1" applyFill="1" applyBorder="1" applyAlignment="1">
      <alignment horizontal="center" vertical="center"/>
    </xf>
    <xf numFmtId="216" fontId="11" fillId="34" borderId="29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199" fontId="23" fillId="38" borderId="33" xfId="0" applyNumberFormat="1" applyFont="1" applyFill="1" applyBorder="1" applyAlignment="1">
      <alignment horizontal="center" vertical="center" wrapText="1"/>
    </xf>
    <xf numFmtId="199" fontId="23" fillId="38" borderId="34" xfId="0" applyNumberFormat="1" applyFont="1" applyFill="1" applyBorder="1" applyAlignment="1">
      <alignment horizontal="center" vertical="center" wrapText="1"/>
    </xf>
    <xf numFmtId="199" fontId="23" fillId="38" borderId="35" xfId="0" applyNumberFormat="1" applyFont="1" applyFill="1" applyBorder="1" applyAlignment="1">
      <alignment horizontal="center" vertical="center" wrapText="1"/>
    </xf>
    <xf numFmtId="0" fontId="14" fillId="12" borderId="36" xfId="0" applyFont="1" applyFill="1" applyBorder="1" applyAlignment="1">
      <alignment horizontal="center" vertical="top" wrapText="1"/>
    </xf>
    <xf numFmtId="0" fontId="14" fillId="12" borderId="37" xfId="0" applyFont="1" applyFill="1" applyBorder="1" applyAlignment="1">
      <alignment horizontal="center" vertical="top" wrapText="1"/>
    </xf>
    <xf numFmtId="0" fontId="14" fillId="12" borderId="38" xfId="0" applyFont="1" applyFill="1" applyBorder="1" applyAlignment="1">
      <alignment horizontal="center" vertical="top" wrapText="1"/>
    </xf>
    <xf numFmtId="199" fontId="12" fillId="14" borderId="33" xfId="0" applyNumberFormat="1" applyFont="1" applyFill="1" applyBorder="1" applyAlignment="1">
      <alignment horizontal="center" vertical="center" wrapText="1"/>
    </xf>
    <xf numFmtId="199" fontId="12" fillId="14" borderId="34" xfId="0" applyNumberFormat="1" applyFont="1" applyFill="1" applyBorder="1" applyAlignment="1">
      <alignment horizontal="center" vertical="center" wrapText="1"/>
    </xf>
    <xf numFmtId="199" fontId="12" fillId="14" borderId="35" xfId="0" applyNumberFormat="1" applyFont="1" applyFill="1" applyBorder="1" applyAlignment="1">
      <alignment horizontal="center" vertical="center" wrapText="1"/>
    </xf>
    <xf numFmtId="0" fontId="14" fillId="12" borderId="39" xfId="0" applyFont="1" applyFill="1" applyBorder="1" applyAlignment="1">
      <alignment horizontal="center" vertical="top" wrapText="1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0" fillId="36" borderId="0" xfId="0" applyFill="1" applyAlignment="1">
      <alignment/>
    </xf>
    <xf numFmtId="0" fontId="13" fillId="0" borderId="17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5"/>
  <sheetViews>
    <sheetView tabSelected="1" zoomScale="78" zoomScaleNormal="78" zoomScalePageLayoutView="0" workbookViewId="0" topLeftCell="A1">
      <selection activeCell="H14" sqref="H14"/>
    </sheetView>
  </sheetViews>
  <sheetFormatPr defaultColWidth="11.421875" defaultRowHeight="12.75"/>
  <cols>
    <col min="1" max="1" width="6.8515625" style="2" customWidth="1"/>
    <col min="2" max="2" width="45.00390625" style="4" customWidth="1"/>
    <col min="3" max="3" width="10.8515625" style="4" hidden="1" customWidth="1"/>
    <col min="4" max="4" width="11.57421875" style="4" hidden="1" customWidth="1"/>
    <col min="5" max="5" width="8.8515625" style="3" bestFit="1" customWidth="1"/>
    <col min="6" max="8" width="8.7109375" style="3" bestFit="1" customWidth="1"/>
    <col min="9" max="9" width="8.7109375" style="3" customWidth="1"/>
    <col min="10" max="11" width="8.140625" style="3" customWidth="1"/>
    <col min="12" max="13" width="8.00390625" style="3" bestFit="1" customWidth="1"/>
    <col min="14" max="14" width="8.7109375" style="3" customWidth="1"/>
    <col min="15" max="15" width="8.00390625" style="3" bestFit="1" customWidth="1"/>
    <col min="16" max="17" width="7.421875" style="3" bestFit="1" customWidth="1"/>
    <col min="18" max="18" width="8.00390625" style="3" bestFit="1" customWidth="1"/>
    <col min="19" max="19" width="8.00390625" style="3" customWidth="1"/>
    <col min="20" max="20" width="8.00390625" style="3" bestFit="1" customWidth="1"/>
    <col min="21" max="21" width="9.57421875" style="2" customWidth="1"/>
    <col min="22" max="22" width="11.28125" style="2" bestFit="1" customWidth="1"/>
    <col min="23" max="23" width="10.421875" style="2" bestFit="1" customWidth="1"/>
    <col min="24" max="24" width="10.7109375" style="1" customWidth="1"/>
    <col min="25" max="25" width="15.7109375" style="1" bestFit="1" customWidth="1"/>
    <col min="26" max="26" width="11.421875" style="0" customWidth="1"/>
    <col min="27" max="27" width="12.00390625" style="0" customWidth="1"/>
    <col min="28" max="28" width="11.421875" style="0" customWidth="1"/>
    <col min="29" max="30" width="18.421875" style="0" bestFit="1" customWidth="1"/>
  </cols>
  <sheetData>
    <row r="1" spans="1:25" ht="15.75">
      <c r="A1" s="133"/>
      <c r="B1" s="134"/>
      <c r="C1" s="134"/>
      <c r="D1" s="134"/>
      <c r="E1" s="135"/>
      <c r="F1" s="136" t="s">
        <v>59</v>
      </c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8"/>
    </row>
    <row r="2" spans="1:25" ht="12.75">
      <c r="A2" s="15"/>
      <c r="B2" s="15"/>
      <c r="C2" s="15"/>
      <c r="D2" s="15"/>
      <c r="E2" s="16"/>
      <c r="F2" s="16"/>
      <c r="G2" s="16"/>
      <c r="H2" s="16"/>
      <c r="I2" s="16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7"/>
      <c r="X2" s="18"/>
      <c r="Y2" s="18"/>
    </row>
    <row r="3" spans="1:25" ht="15.75">
      <c r="A3" s="19"/>
      <c r="B3" s="20"/>
      <c r="C3" s="20"/>
      <c r="D3" s="20"/>
      <c r="E3" s="21"/>
      <c r="F3" s="21"/>
      <c r="G3" s="21"/>
      <c r="H3" s="21"/>
      <c r="I3" s="21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17"/>
      <c r="X3" s="18"/>
      <c r="Y3" s="18"/>
    </row>
    <row r="4" spans="1:29" ht="15.75">
      <c r="A4" s="19" t="s">
        <v>92</v>
      </c>
      <c r="B4" s="20"/>
      <c r="C4" s="20"/>
      <c r="D4" s="20"/>
      <c r="E4" s="21"/>
      <c r="F4" s="21"/>
      <c r="G4" s="21"/>
      <c r="H4" s="21"/>
      <c r="I4" s="21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17"/>
      <c r="X4" s="18"/>
      <c r="Y4" s="18"/>
      <c r="AA4" s="9"/>
      <c r="AC4" s="8"/>
    </row>
    <row r="5" spans="1:29" ht="20.25">
      <c r="A5" s="19" t="s">
        <v>88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17"/>
      <c r="X5" s="18"/>
      <c r="Y5" s="18"/>
      <c r="AA5" s="8"/>
      <c r="AC5" s="8"/>
    </row>
    <row r="6" spans="1:29" ht="20.25">
      <c r="A6" s="19" t="s">
        <v>62</v>
      </c>
      <c r="B6" s="22"/>
      <c r="C6" s="22"/>
      <c r="D6" s="22"/>
      <c r="E6" s="22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22"/>
      <c r="V6" s="22"/>
      <c r="W6" s="17"/>
      <c r="X6" s="18"/>
      <c r="Y6" s="18"/>
      <c r="AC6" s="8"/>
    </row>
    <row r="7" spans="1:29" ht="21" thickBot="1">
      <c r="A7" s="19" t="s">
        <v>87</v>
      </c>
      <c r="B7" s="22"/>
      <c r="C7" s="22"/>
      <c r="D7" s="22"/>
      <c r="E7" s="22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22"/>
      <c r="W7" s="17"/>
      <c r="X7" s="18"/>
      <c r="Y7" s="18"/>
      <c r="AC7" s="8"/>
    </row>
    <row r="8" spans="1:25" ht="13.5" customHeight="1" thickBot="1">
      <c r="A8" s="52"/>
      <c r="B8" s="23"/>
      <c r="C8" s="23"/>
      <c r="D8" s="23"/>
      <c r="E8" s="24"/>
      <c r="F8" s="142" t="s">
        <v>63</v>
      </c>
      <c r="G8" s="143"/>
      <c r="H8" s="143"/>
      <c r="I8" s="148"/>
      <c r="J8" s="144"/>
      <c r="K8" s="145" t="s">
        <v>64</v>
      </c>
      <c r="L8" s="146"/>
      <c r="M8" s="146"/>
      <c r="N8" s="146"/>
      <c r="O8" s="147"/>
      <c r="P8" s="139" t="s">
        <v>76</v>
      </c>
      <c r="Q8" s="140"/>
      <c r="R8" s="140"/>
      <c r="S8" s="140"/>
      <c r="T8" s="141"/>
      <c r="U8" s="106"/>
      <c r="V8" s="17"/>
      <c r="W8" s="17"/>
      <c r="X8" s="18"/>
      <c r="Y8" s="18"/>
    </row>
    <row r="9" spans="1:27" ht="57.75" customHeight="1" thickBot="1">
      <c r="A9" s="10" t="s">
        <v>28</v>
      </c>
      <c r="B9" s="11" t="s">
        <v>1</v>
      </c>
      <c r="C9" s="11" t="s">
        <v>47</v>
      </c>
      <c r="D9" s="11" t="s">
        <v>46</v>
      </c>
      <c r="E9" s="12" t="s">
        <v>2</v>
      </c>
      <c r="F9" s="130" t="s">
        <v>50</v>
      </c>
      <c r="G9" s="130" t="s">
        <v>51</v>
      </c>
      <c r="H9" s="130" t="s">
        <v>52</v>
      </c>
      <c r="I9" s="130" t="s">
        <v>55</v>
      </c>
      <c r="J9" s="130" t="s">
        <v>65</v>
      </c>
      <c r="K9" s="129" t="s">
        <v>50</v>
      </c>
      <c r="L9" s="104" t="s">
        <v>51</v>
      </c>
      <c r="M9" s="104" t="s">
        <v>52</v>
      </c>
      <c r="N9" s="104" t="s">
        <v>55</v>
      </c>
      <c r="O9" s="104" t="s">
        <v>65</v>
      </c>
      <c r="P9" s="68" t="s">
        <v>74</v>
      </c>
      <c r="Q9" s="68" t="s">
        <v>75</v>
      </c>
      <c r="R9" s="68" t="s">
        <v>52</v>
      </c>
      <c r="S9" s="68" t="s">
        <v>55</v>
      </c>
      <c r="T9" s="68" t="s">
        <v>65</v>
      </c>
      <c r="U9" s="107" t="s">
        <v>15</v>
      </c>
      <c r="V9" s="108" t="s">
        <v>22</v>
      </c>
      <c r="W9" s="108" t="s">
        <v>23</v>
      </c>
      <c r="X9" s="109" t="s">
        <v>24</v>
      </c>
      <c r="Y9" s="110" t="s">
        <v>40</v>
      </c>
      <c r="Z9" s="150" t="s">
        <v>25</v>
      </c>
      <c r="AA9" s="150" t="s">
        <v>26</v>
      </c>
    </row>
    <row r="10" spans="1:27" ht="15">
      <c r="A10" s="25">
        <v>1</v>
      </c>
      <c r="B10" s="69" t="s">
        <v>29</v>
      </c>
      <c r="C10" s="26"/>
      <c r="D10" s="26"/>
      <c r="E10" s="84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8"/>
      <c r="V10" s="111"/>
      <c r="W10" s="111"/>
      <c r="X10" s="112"/>
      <c r="Y10" s="113"/>
      <c r="Z10" s="149"/>
      <c r="AA10" s="149"/>
    </row>
    <row r="11" spans="1:27" ht="28.5">
      <c r="A11" s="13"/>
      <c r="B11" s="70" t="s">
        <v>95</v>
      </c>
      <c r="C11" s="34"/>
      <c r="D11" s="34"/>
      <c r="E11" s="85" t="s">
        <v>3</v>
      </c>
      <c r="F11" s="96">
        <v>70</v>
      </c>
      <c r="G11" s="96">
        <v>65</v>
      </c>
      <c r="H11" s="96">
        <v>80</v>
      </c>
      <c r="I11" s="96"/>
      <c r="J11" s="96">
        <v>66</v>
      </c>
      <c r="K11" s="96"/>
      <c r="L11" s="6"/>
      <c r="M11" s="6"/>
      <c r="N11" s="6"/>
      <c r="O11" s="6"/>
      <c r="P11" s="6"/>
      <c r="Q11" s="6"/>
      <c r="R11" s="6"/>
      <c r="S11" s="6"/>
      <c r="T11" s="6"/>
      <c r="U11" s="103">
        <f>SUM(F11:T11)</f>
        <v>281</v>
      </c>
      <c r="V11" s="114">
        <f>+ROUND(Z11*mm,0)</f>
        <v>42438</v>
      </c>
      <c r="W11" s="114">
        <f>+ROUND(AA11*mmo,0)</f>
        <v>1500</v>
      </c>
      <c r="X11" s="114">
        <f>+V11+W11</f>
        <v>43938</v>
      </c>
      <c r="Y11" s="115">
        <f>+X11*U11</f>
        <v>12346578</v>
      </c>
      <c r="Z11" s="149">
        <f>7*do</f>
        <v>33950</v>
      </c>
      <c r="AA11" s="149">
        <v>1200</v>
      </c>
    </row>
    <row r="12" spans="1:27" ht="15.75">
      <c r="A12" s="13"/>
      <c r="B12" s="71" t="s">
        <v>4</v>
      </c>
      <c r="C12" s="34"/>
      <c r="D12" s="34"/>
      <c r="E12" s="86"/>
      <c r="F12" s="86"/>
      <c r="G12" s="86"/>
      <c r="H12" s="86"/>
      <c r="I12" s="86"/>
      <c r="J12" s="86"/>
      <c r="K12" s="86"/>
      <c r="L12" s="31"/>
      <c r="M12" s="31"/>
      <c r="N12" s="31"/>
      <c r="O12" s="31"/>
      <c r="P12" s="31"/>
      <c r="Q12" s="31"/>
      <c r="R12" s="31"/>
      <c r="S12" s="31"/>
      <c r="T12" s="31"/>
      <c r="U12" s="103"/>
      <c r="V12" s="114"/>
      <c r="W12" s="114"/>
      <c r="X12" s="114"/>
      <c r="Y12" s="115"/>
      <c r="Z12" s="149"/>
      <c r="AA12" s="149"/>
    </row>
    <row r="13" spans="1:27" ht="15.75">
      <c r="A13" s="13"/>
      <c r="B13" s="70" t="s">
        <v>61</v>
      </c>
      <c r="C13" s="34"/>
      <c r="D13" s="34"/>
      <c r="E13" s="85" t="s">
        <v>3</v>
      </c>
      <c r="F13" s="96">
        <f>+F11*2</f>
        <v>140</v>
      </c>
      <c r="G13" s="96">
        <f>+G11*2</f>
        <v>130</v>
      </c>
      <c r="H13" s="96">
        <f>+H11*2</f>
        <v>160</v>
      </c>
      <c r="I13" s="96"/>
      <c r="J13" s="96">
        <f>+J11*2</f>
        <v>132</v>
      </c>
      <c r="K13" s="96"/>
      <c r="L13" s="6"/>
      <c r="M13" s="6"/>
      <c r="N13" s="6"/>
      <c r="O13" s="6"/>
      <c r="P13" s="6"/>
      <c r="Q13" s="6"/>
      <c r="R13" s="6"/>
      <c r="S13" s="6"/>
      <c r="T13" s="6"/>
      <c r="U13" s="103">
        <f>SUM(F13:T13)</f>
        <v>562</v>
      </c>
      <c r="V13" s="114">
        <f>+ROUND(Z13*mm,0)</f>
        <v>36375</v>
      </c>
      <c r="W13" s="114">
        <f>+ROUND(AA13*mmo,0)</f>
        <v>4750</v>
      </c>
      <c r="X13" s="114">
        <f>+V13+W13</f>
        <v>41125</v>
      </c>
      <c r="Y13" s="115">
        <f>+X13*U13</f>
        <v>23112250</v>
      </c>
      <c r="Z13" s="149">
        <f>6*do</f>
        <v>29100</v>
      </c>
      <c r="AA13" s="149">
        <v>3800</v>
      </c>
    </row>
    <row r="14" spans="1:27" ht="15.75">
      <c r="A14" s="13"/>
      <c r="B14" s="72" t="s">
        <v>60</v>
      </c>
      <c r="C14" s="34"/>
      <c r="D14" s="34"/>
      <c r="E14" s="85" t="s">
        <v>3</v>
      </c>
      <c r="F14" s="96">
        <f>+F11</f>
        <v>70</v>
      </c>
      <c r="G14" s="96">
        <f>+G11</f>
        <v>65</v>
      </c>
      <c r="H14" s="96">
        <f>+H11</f>
        <v>80</v>
      </c>
      <c r="I14" s="96"/>
      <c r="J14" s="96">
        <f>+J11</f>
        <v>66</v>
      </c>
      <c r="K14" s="96"/>
      <c r="L14" s="6"/>
      <c r="M14" s="6"/>
      <c r="N14" s="6"/>
      <c r="O14" s="6"/>
      <c r="P14" s="6"/>
      <c r="Q14" s="6"/>
      <c r="R14" s="6"/>
      <c r="S14" s="6"/>
      <c r="T14" s="6"/>
      <c r="U14" s="103">
        <f>SUM(F14:T14)</f>
        <v>281</v>
      </c>
      <c r="V14" s="114">
        <f>+ROUND(Z14*mm,0)</f>
        <v>12125</v>
      </c>
      <c r="W14" s="114">
        <f>+ROUND(AA14*mmo,0)</f>
        <v>1500</v>
      </c>
      <c r="X14" s="114">
        <f>+V14+W14</f>
        <v>13625</v>
      </c>
      <c r="Y14" s="115">
        <f>+X14*U14</f>
        <v>3828625</v>
      </c>
      <c r="Z14" s="149">
        <f>2*do</f>
        <v>9700</v>
      </c>
      <c r="AA14" s="149">
        <v>1200</v>
      </c>
    </row>
    <row r="15" spans="1:27" ht="15.75">
      <c r="A15" s="13"/>
      <c r="B15" s="72" t="s">
        <v>5</v>
      </c>
      <c r="C15" s="34"/>
      <c r="D15" s="34"/>
      <c r="E15" s="85" t="s">
        <v>3</v>
      </c>
      <c r="F15" s="96">
        <f>+F14</f>
        <v>70</v>
      </c>
      <c r="G15" s="96">
        <f>+G14</f>
        <v>65</v>
      </c>
      <c r="H15" s="96">
        <f>+H14</f>
        <v>80</v>
      </c>
      <c r="I15" s="96"/>
      <c r="J15" s="96">
        <f>+J14</f>
        <v>66</v>
      </c>
      <c r="K15" s="96"/>
      <c r="L15" s="6"/>
      <c r="M15" s="6"/>
      <c r="N15" s="6"/>
      <c r="O15" s="6"/>
      <c r="P15" s="6"/>
      <c r="Q15" s="6"/>
      <c r="R15" s="6"/>
      <c r="S15" s="6"/>
      <c r="T15" s="6"/>
      <c r="U15" s="103">
        <f>SUM(F15:T15)</f>
        <v>281</v>
      </c>
      <c r="V15" s="114">
        <f>+ROUND(Z15*mm,0)</f>
        <v>2250</v>
      </c>
      <c r="W15" s="114">
        <f>+ROUND(AA15*mmo,0)</f>
        <v>1500</v>
      </c>
      <c r="X15" s="114">
        <f>+V15+W15</f>
        <v>3750</v>
      </c>
      <c r="Y15" s="115">
        <f>+X15*U15</f>
        <v>1053750</v>
      </c>
      <c r="Z15" s="149">
        <v>1800</v>
      </c>
      <c r="AA15" s="149">
        <v>1200</v>
      </c>
    </row>
    <row r="16" spans="1:27" ht="15.75">
      <c r="A16" s="13"/>
      <c r="B16" s="71"/>
      <c r="C16" s="30"/>
      <c r="D16" s="30"/>
      <c r="E16" s="85"/>
      <c r="F16" s="96"/>
      <c r="G16" s="96"/>
      <c r="H16" s="96"/>
      <c r="I16" s="96"/>
      <c r="J16" s="96"/>
      <c r="K16" s="96"/>
      <c r="L16" s="6"/>
      <c r="M16" s="6"/>
      <c r="N16" s="6"/>
      <c r="O16" s="6"/>
      <c r="P16" s="6"/>
      <c r="Q16" s="6"/>
      <c r="R16" s="6"/>
      <c r="S16" s="6"/>
      <c r="T16" s="6"/>
      <c r="U16" s="103"/>
      <c r="V16" s="114"/>
      <c r="W16" s="114"/>
      <c r="X16" s="114"/>
      <c r="Y16" s="115"/>
      <c r="Z16" s="149"/>
      <c r="AA16" s="149"/>
    </row>
    <row r="17" spans="1:27" ht="15.75">
      <c r="A17" s="29">
        <v>2</v>
      </c>
      <c r="B17" s="71" t="s">
        <v>30</v>
      </c>
      <c r="C17" s="30"/>
      <c r="D17" s="30"/>
      <c r="E17" s="85"/>
      <c r="F17" s="96"/>
      <c r="G17" s="96"/>
      <c r="H17" s="96"/>
      <c r="I17" s="96"/>
      <c r="J17" s="96"/>
      <c r="K17" s="96"/>
      <c r="L17" s="6"/>
      <c r="M17" s="6"/>
      <c r="N17" s="6"/>
      <c r="O17" s="6"/>
      <c r="P17" s="6"/>
      <c r="Q17" s="6"/>
      <c r="R17" s="6"/>
      <c r="S17" s="6"/>
      <c r="T17" s="6"/>
      <c r="U17" s="103"/>
      <c r="V17" s="116"/>
      <c r="W17" s="116"/>
      <c r="X17" s="116"/>
      <c r="Y17" s="117"/>
      <c r="Z17" s="149"/>
      <c r="AA17" s="149"/>
    </row>
    <row r="18" spans="1:27" ht="15.75">
      <c r="A18" s="13"/>
      <c r="B18" s="71" t="s">
        <v>6</v>
      </c>
      <c r="C18" s="30"/>
      <c r="D18" s="30"/>
      <c r="E18" s="85"/>
      <c r="F18" s="96"/>
      <c r="G18" s="96"/>
      <c r="H18" s="96"/>
      <c r="I18" s="96"/>
      <c r="J18" s="96"/>
      <c r="K18" s="96"/>
      <c r="L18" s="6"/>
      <c r="M18" s="6"/>
      <c r="N18" s="6"/>
      <c r="O18" s="6"/>
      <c r="P18" s="6"/>
      <c r="Q18" s="6"/>
      <c r="R18" s="6"/>
      <c r="S18" s="6"/>
      <c r="T18" s="6"/>
      <c r="U18" s="103"/>
      <c r="V18" s="114"/>
      <c r="W18" s="114"/>
      <c r="X18" s="114"/>
      <c r="Y18" s="115"/>
      <c r="Z18" s="149"/>
      <c r="AA18" s="149"/>
    </row>
    <row r="19" spans="1:27" ht="30">
      <c r="A19" s="13"/>
      <c r="B19" s="70" t="s">
        <v>84</v>
      </c>
      <c r="C19" s="34"/>
      <c r="D19" s="34"/>
      <c r="E19" s="125" t="s">
        <v>32</v>
      </c>
      <c r="F19" s="98">
        <f>36*F11*2*1.05</f>
        <v>5292</v>
      </c>
      <c r="G19" s="98">
        <f>36*G11*2*1.05</f>
        <v>4914</v>
      </c>
      <c r="H19" s="98">
        <f>36*H11*2*1.05</f>
        <v>6048</v>
      </c>
      <c r="I19" s="98"/>
      <c r="J19" s="98">
        <f>36*J11*2*1.05</f>
        <v>4989.6</v>
      </c>
      <c r="K19" s="98"/>
      <c r="L19" s="6"/>
      <c r="M19" s="6"/>
      <c r="N19" s="6"/>
      <c r="O19" s="6"/>
      <c r="P19" s="6"/>
      <c r="Q19" s="6"/>
      <c r="R19" s="6"/>
      <c r="S19" s="6"/>
      <c r="T19" s="6"/>
      <c r="U19" s="124">
        <f>ROUND((SUM(F19:T19)/305),0)</f>
        <v>70</v>
      </c>
      <c r="V19" s="114">
        <f>+ROUND(Z19*mm,0)</f>
        <v>1212500</v>
      </c>
      <c r="W19" s="114">
        <f>+ROUND(AA19*mmo,0)</f>
        <v>150000</v>
      </c>
      <c r="X19" s="114">
        <f>+V19+W19</f>
        <v>1362500</v>
      </c>
      <c r="Y19" s="115">
        <f>+X19*U19</f>
        <v>95375000</v>
      </c>
      <c r="Z19" s="149">
        <f>200*do</f>
        <v>970000</v>
      </c>
      <c r="AA19" s="149">
        <f>400*300</f>
        <v>120000</v>
      </c>
    </row>
    <row r="20" spans="1:27" ht="15.75">
      <c r="A20" s="13" t="s">
        <v>0</v>
      </c>
      <c r="B20" s="72" t="s">
        <v>56</v>
      </c>
      <c r="C20" s="34"/>
      <c r="D20" s="55"/>
      <c r="E20" s="85" t="s">
        <v>3</v>
      </c>
      <c r="F20" s="96">
        <f>+F13</f>
        <v>140</v>
      </c>
      <c r="G20" s="96">
        <f>+G13</f>
        <v>130</v>
      </c>
      <c r="H20" s="96">
        <f>+H13</f>
        <v>160</v>
      </c>
      <c r="I20" s="96"/>
      <c r="J20" s="96">
        <f>+J13</f>
        <v>132</v>
      </c>
      <c r="K20" s="96"/>
      <c r="L20" s="6"/>
      <c r="M20" s="6"/>
      <c r="N20" s="6"/>
      <c r="O20" s="6"/>
      <c r="P20" s="6"/>
      <c r="Q20" s="6"/>
      <c r="R20" s="6"/>
      <c r="S20" s="6"/>
      <c r="T20" s="6"/>
      <c r="U20" s="103">
        <f>SUM(F20:T20)</f>
        <v>562</v>
      </c>
      <c r="V20" s="114">
        <f>+ROUND(Z20*mm,0)</f>
        <v>0</v>
      </c>
      <c r="W20" s="114">
        <f>+ROUND(AA20*mmo,0)</f>
        <v>8125</v>
      </c>
      <c r="X20" s="114">
        <f>+V20+W20</f>
        <v>8125</v>
      </c>
      <c r="Y20" s="115">
        <f>+X20*U20</f>
        <v>4566250</v>
      </c>
      <c r="Z20" s="149"/>
      <c r="AA20" s="149">
        <v>6500</v>
      </c>
    </row>
    <row r="21" spans="1:27" ht="15.75">
      <c r="A21" s="13"/>
      <c r="B21" s="72" t="s">
        <v>7</v>
      </c>
      <c r="C21" s="34"/>
      <c r="D21" s="34"/>
      <c r="E21" s="85" t="s">
        <v>3</v>
      </c>
      <c r="F21" s="96">
        <v>1</v>
      </c>
      <c r="G21" s="96">
        <v>1</v>
      </c>
      <c r="H21" s="96">
        <v>1</v>
      </c>
      <c r="I21" s="96"/>
      <c r="J21" s="96">
        <v>1</v>
      </c>
      <c r="K21" s="96"/>
      <c r="L21" s="6"/>
      <c r="M21" s="6"/>
      <c r="N21" s="6"/>
      <c r="O21" s="6"/>
      <c r="P21" s="6"/>
      <c r="Q21" s="6"/>
      <c r="R21" s="6"/>
      <c r="S21" s="6"/>
      <c r="T21" s="6"/>
      <c r="U21" s="103">
        <f>SUM(F21:T21)</f>
        <v>4</v>
      </c>
      <c r="V21" s="114">
        <f>+ROUND(Z21*mm,0)</f>
        <v>0</v>
      </c>
      <c r="W21" s="114">
        <f>+ROUND(AA21*mmo,0)</f>
        <v>187500</v>
      </c>
      <c r="X21" s="114">
        <f>+V21+W21</f>
        <v>187500</v>
      </c>
      <c r="Y21" s="115">
        <f>+X21*U21</f>
        <v>750000</v>
      </c>
      <c r="Z21" s="149"/>
      <c r="AA21" s="149">
        <v>150000</v>
      </c>
    </row>
    <row r="22" spans="1:27" ht="15.75">
      <c r="A22" s="13"/>
      <c r="B22" s="72"/>
      <c r="C22" s="5"/>
      <c r="D22" s="5"/>
      <c r="E22" s="85"/>
      <c r="F22" s="96"/>
      <c r="G22" s="96"/>
      <c r="H22" s="96"/>
      <c r="I22" s="96"/>
      <c r="J22" s="96"/>
      <c r="K22" s="96"/>
      <c r="L22" s="6"/>
      <c r="M22" s="6"/>
      <c r="N22" s="6"/>
      <c r="O22" s="6"/>
      <c r="P22" s="6"/>
      <c r="Q22" s="6"/>
      <c r="R22" s="6"/>
      <c r="S22" s="6"/>
      <c r="T22" s="6"/>
      <c r="U22" s="103"/>
      <c r="V22" s="116"/>
      <c r="W22" s="116"/>
      <c r="X22" s="116"/>
      <c r="Y22" s="117"/>
      <c r="Z22" s="149"/>
      <c r="AA22" s="149"/>
    </row>
    <row r="23" spans="1:27" ht="15.75">
      <c r="A23" s="29">
        <v>3</v>
      </c>
      <c r="B23" s="71" t="s">
        <v>31</v>
      </c>
      <c r="C23" s="30"/>
      <c r="D23" s="30"/>
      <c r="E23" s="87"/>
      <c r="F23" s="96"/>
      <c r="G23" s="96"/>
      <c r="H23" s="96"/>
      <c r="I23" s="96"/>
      <c r="J23" s="96"/>
      <c r="K23" s="96"/>
      <c r="L23" s="6"/>
      <c r="M23" s="6"/>
      <c r="N23" s="6"/>
      <c r="O23" s="6"/>
      <c r="P23" s="6"/>
      <c r="Q23" s="6"/>
      <c r="R23" s="6"/>
      <c r="S23" s="6"/>
      <c r="T23" s="6"/>
      <c r="U23" s="103"/>
      <c r="V23" s="116"/>
      <c r="W23" s="116"/>
      <c r="X23" s="116"/>
      <c r="Y23" s="117"/>
      <c r="Z23" s="149"/>
      <c r="AA23" s="149"/>
    </row>
    <row r="24" spans="1:27" ht="12.75" customHeight="1">
      <c r="A24" s="13" t="s">
        <v>0</v>
      </c>
      <c r="B24" s="73" t="s">
        <v>8</v>
      </c>
      <c r="C24" s="34"/>
      <c r="D24" s="56"/>
      <c r="E24" s="88" t="s">
        <v>0</v>
      </c>
      <c r="F24" s="88"/>
      <c r="G24" s="88"/>
      <c r="H24" s="88"/>
      <c r="I24" s="88"/>
      <c r="J24" s="88"/>
      <c r="K24" s="88"/>
      <c r="L24" s="32"/>
      <c r="M24" s="32"/>
      <c r="N24" s="32"/>
      <c r="O24" s="32"/>
      <c r="P24" s="32"/>
      <c r="Q24" s="32"/>
      <c r="R24" s="32"/>
      <c r="S24" s="32"/>
      <c r="T24" s="32"/>
      <c r="U24" s="103"/>
      <c r="V24" s="114"/>
      <c r="W24" s="114"/>
      <c r="X24" s="114"/>
      <c r="Y24" s="115"/>
      <c r="Z24" s="149"/>
      <c r="AA24" s="149"/>
    </row>
    <row r="25" spans="1:27" ht="15.75">
      <c r="A25" s="13"/>
      <c r="B25" s="72" t="s">
        <v>57</v>
      </c>
      <c r="C25" s="34"/>
      <c r="D25" s="34"/>
      <c r="E25" s="88" t="s">
        <v>3</v>
      </c>
      <c r="F25" s="99">
        <v>2</v>
      </c>
      <c r="G25" s="96">
        <v>2</v>
      </c>
      <c r="H25" s="96"/>
      <c r="I25" s="96"/>
      <c r="J25" s="96">
        <v>2</v>
      </c>
      <c r="K25" s="96"/>
      <c r="L25" s="6"/>
      <c r="M25" s="6"/>
      <c r="N25" s="6"/>
      <c r="O25" s="6"/>
      <c r="P25" s="6"/>
      <c r="Q25" s="6"/>
      <c r="R25" s="6"/>
      <c r="S25" s="6"/>
      <c r="T25" s="6"/>
      <c r="U25" s="103">
        <f>SUM(F25:T25)</f>
        <v>6</v>
      </c>
      <c r="V25" s="114">
        <f>+ROUND(Z25*mm,0)</f>
        <v>1212500</v>
      </c>
      <c r="W25" s="114">
        <f>+ROUND(AA25*mmo,0)</f>
        <v>100000</v>
      </c>
      <c r="X25" s="114">
        <f>+V25+W25</f>
        <v>1312500</v>
      </c>
      <c r="Y25" s="115">
        <f>+X25*U25</f>
        <v>7875000</v>
      </c>
      <c r="Z25" s="149">
        <f>200*do</f>
        <v>970000</v>
      </c>
      <c r="AA25" s="149">
        <v>80000</v>
      </c>
    </row>
    <row r="26" spans="1:27" ht="15.75">
      <c r="A26" s="13"/>
      <c r="B26" s="72" t="s">
        <v>58</v>
      </c>
      <c r="C26" s="34"/>
      <c r="D26" s="34"/>
      <c r="E26" s="88" t="s">
        <v>3</v>
      </c>
      <c r="F26" s="96">
        <v>2</v>
      </c>
      <c r="G26" s="96">
        <v>2</v>
      </c>
      <c r="H26" s="96">
        <v>4</v>
      </c>
      <c r="I26" s="96"/>
      <c r="J26" s="96">
        <v>2</v>
      </c>
      <c r="K26" s="96"/>
      <c r="L26" s="6"/>
      <c r="M26" s="6"/>
      <c r="N26" s="6"/>
      <c r="O26" s="6"/>
      <c r="P26" s="6"/>
      <c r="Q26" s="6"/>
      <c r="R26" s="6"/>
      <c r="S26" s="6"/>
      <c r="T26" s="6"/>
      <c r="U26" s="103"/>
      <c r="V26" s="114">
        <f>+ROUND(Z26*mm,0)</f>
        <v>2121875</v>
      </c>
      <c r="W26" s="114">
        <f>+ROUND(AA26*mmo,0)</f>
        <v>175000</v>
      </c>
      <c r="X26" s="114">
        <f>+V26+W26</f>
        <v>2296875</v>
      </c>
      <c r="Y26" s="115">
        <f>+X26*U26</f>
        <v>0</v>
      </c>
      <c r="Z26" s="149">
        <f>350*do</f>
        <v>1697500</v>
      </c>
      <c r="AA26" s="149">
        <v>140000</v>
      </c>
    </row>
    <row r="27" spans="1:27" ht="15.75">
      <c r="A27" s="13"/>
      <c r="B27" s="71" t="s">
        <v>9</v>
      </c>
      <c r="C27" s="30"/>
      <c r="D27" s="30"/>
      <c r="E27" s="85"/>
      <c r="F27" s="96"/>
      <c r="G27" s="96"/>
      <c r="H27" s="96"/>
      <c r="I27" s="96"/>
      <c r="J27" s="96"/>
      <c r="K27" s="96"/>
      <c r="L27" s="6"/>
      <c r="M27" s="6"/>
      <c r="N27" s="6"/>
      <c r="O27" s="6"/>
      <c r="P27" s="6"/>
      <c r="Q27" s="6"/>
      <c r="R27" s="6"/>
      <c r="S27" s="6"/>
      <c r="T27" s="6"/>
      <c r="U27" s="103"/>
      <c r="V27" s="114"/>
      <c r="W27" s="114"/>
      <c r="X27" s="114"/>
      <c r="Y27" s="115"/>
      <c r="Z27" s="149"/>
      <c r="AA27" s="149"/>
    </row>
    <row r="28" spans="1:27" ht="15.75">
      <c r="A28" s="13"/>
      <c r="B28" s="70" t="s">
        <v>93</v>
      </c>
      <c r="C28" s="34"/>
      <c r="D28" s="34"/>
      <c r="E28" s="85" t="s">
        <v>3</v>
      </c>
      <c r="F28" s="96">
        <f>+F11*2</f>
        <v>140</v>
      </c>
      <c r="G28" s="96">
        <f>+G11*2</f>
        <v>130</v>
      </c>
      <c r="H28" s="96">
        <f>+H11*2</f>
        <v>160</v>
      </c>
      <c r="I28" s="96"/>
      <c r="J28" s="96">
        <f>+J11*2</f>
        <v>132</v>
      </c>
      <c r="K28" s="96"/>
      <c r="L28" s="6"/>
      <c r="M28" s="6"/>
      <c r="N28" s="6"/>
      <c r="O28" s="6"/>
      <c r="P28" s="6"/>
      <c r="Q28" s="6"/>
      <c r="R28" s="6"/>
      <c r="S28" s="6"/>
      <c r="T28" s="6"/>
      <c r="U28" s="103">
        <f>SUM(F28:T28)</f>
        <v>562</v>
      </c>
      <c r="V28" s="114">
        <f>+ROUND(Z28*mm,0)</f>
        <v>39406</v>
      </c>
      <c r="W28" s="114">
        <f>+ROUND(AA28*mmo,0)</f>
        <v>1500</v>
      </c>
      <c r="X28" s="114">
        <f>+V28+W28</f>
        <v>40906</v>
      </c>
      <c r="Y28" s="115">
        <f>+X28*U28</f>
        <v>22989172</v>
      </c>
      <c r="Z28" s="149">
        <f>6.5*do</f>
        <v>31525</v>
      </c>
      <c r="AA28" s="149">
        <v>1200</v>
      </c>
    </row>
    <row r="29" spans="1:27" ht="15.75">
      <c r="A29" s="29"/>
      <c r="B29" s="71" t="s">
        <v>44</v>
      </c>
      <c r="C29" s="30"/>
      <c r="D29" s="30"/>
      <c r="E29" s="85"/>
      <c r="F29" s="96"/>
      <c r="G29" s="96"/>
      <c r="H29" s="96"/>
      <c r="I29" s="96"/>
      <c r="J29" s="96"/>
      <c r="K29" s="96"/>
      <c r="L29" s="6"/>
      <c r="M29" s="6"/>
      <c r="N29" s="6"/>
      <c r="O29" s="6"/>
      <c r="P29" s="6"/>
      <c r="Q29" s="6"/>
      <c r="R29" s="6"/>
      <c r="S29" s="6"/>
      <c r="T29" s="6"/>
      <c r="U29" s="103"/>
      <c r="V29" s="114"/>
      <c r="W29" s="114"/>
      <c r="X29" s="114"/>
      <c r="Y29" s="115"/>
      <c r="Z29" s="149"/>
      <c r="AA29" s="149"/>
    </row>
    <row r="30" spans="1:27" ht="43.5" customHeight="1">
      <c r="A30" s="33"/>
      <c r="B30" s="72" t="s">
        <v>99</v>
      </c>
      <c r="C30" s="57"/>
      <c r="D30" s="57"/>
      <c r="E30" s="89" t="s">
        <v>3</v>
      </c>
      <c r="F30" s="98">
        <v>1</v>
      </c>
      <c r="G30" s="96">
        <v>1</v>
      </c>
      <c r="H30" s="96">
        <v>1</v>
      </c>
      <c r="I30" s="96"/>
      <c r="J30" s="96">
        <v>1</v>
      </c>
      <c r="K30" s="96"/>
      <c r="L30" s="6"/>
      <c r="M30" s="6"/>
      <c r="N30" s="6"/>
      <c r="O30" s="6"/>
      <c r="P30" s="6"/>
      <c r="Q30" s="6"/>
      <c r="R30" s="6"/>
      <c r="S30" s="6"/>
      <c r="T30" s="6"/>
      <c r="U30" s="103">
        <f>SUM(F30:T30)</f>
        <v>4</v>
      </c>
      <c r="V30" s="114">
        <f>+ROUND(Z30*mm,0)</f>
        <v>3750000</v>
      </c>
      <c r="W30" s="114">
        <f>+ROUND(AA30*mmo,0)</f>
        <v>187500</v>
      </c>
      <c r="X30" s="114">
        <f>+V30+W30</f>
        <v>3937500</v>
      </c>
      <c r="Y30" s="115">
        <f>+X30*U30</f>
        <v>15750000</v>
      </c>
      <c r="Z30" s="149">
        <v>3000000</v>
      </c>
      <c r="AA30" s="149">
        <v>150000</v>
      </c>
    </row>
    <row r="31" spans="1:27" ht="15">
      <c r="A31" s="33"/>
      <c r="B31" s="74" t="s">
        <v>48</v>
      </c>
      <c r="C31" s="57"/>
      <c r="D31" s="57"/>
      <c r="E31" s="89" t="s">
        <v>3</v>
      </c>
      <c r="F31" s="96">
        <v>2</v>
      </c>
      <c r="G31" s="96">
        <v>2</v>
      </c>
      <c r="H31" s="96">
        <v>2</v>
      </c>
      <c r="I31" s="96"/>
      <c r="J31" s="96">
        <v>2</v>
      </c>
      <c r="K31" s="96"/>
      <c r="L31" s="6"/>
      <c r="M31" s="6"/>
      <c r="N31" s="6"/>
      <c r="O31" s="6"/>
      <c r="P31" s="6"/>
      <c r="Q31" s="6"/>
      <c r="R31" s="6"/>
      <c r="S31" s="6"/>
      <c r="T31" s="6"/>
      <c r="U31" s="103">
        <f>SUM(F31:T31)</f>
        <v>8</v>
      </c>
      <c r="V31" s="114">
        <f>+ROUND(Z31*mm,0)</f>
        <v>437500</v>
      </c>
      <c r="W31" s="114">
        <f>+ROUND(AA31*mmo,0)</f>
        <v>5625</v>
      </c>
      <c r="X31" s="114">
        <f>+V31+W31</f>
        <v>443125</v>
      </c>
      <c r="Y31" s="115">
        <f>+X31*U31</f>
        <v>3545000</v>
      </c>
      <c r="Z31" s="149">
        <v>350000</v>
      </c>
      <c r="AA31" s="149">
        <v>4500</v>
      </c>
    </row>
    <row r="32" spans="1:27" ht="27">
      <c r="A32" s="33"/>
      <c r="B32" s="74" t="s">
        <v>90</v>
      </c>
      <c r="C32" s="57"/>
      <c r="D32" s="57"/>
      <c r="E32" s="89" t="s">
        <v>3</v>
      </c>
      <c r="F32" s="96">
        <v>2</v>
      </c>
      <c r="G32" s="96">
        <v>2</v>
      </c>
      <c r="H32" s="96">
        <v>0</v>
      </c>
      <c r="I32" s="96"/>
      <c r="J32" s="96">
        <v>2</v>
      </c>
      <c r="K32" s="96"/>
      <c r="L32" s="6"/>
      <c r="M32" s="6"/>
      <c r="N32" s="6"/>
      <c r="O32" s="6"/>
      <c r="P32" s="6"/>
      <c r="Q32" s="6"/>
      <c r="R32" s="6"/>
      <c r="S32" s="6"/>
      <c r="T32" s="6"/>
      <c r="U32" s="103">
        <f>SUM(F32:T32)</f>
        <v>6</v>
      </c>
      <c r="V32" s="114">
        <f>+ROUND(Z32*mm,0)</f>
        <v>93750</v>
      </c>
      <c r="W32" s="114">
        <f>+ROUND(AA32*mmo,0)</f>
        <v>5625</v>
      </c>
      <c r="X32" s="114">
        <f>+V32+W32</f>
        <v>99375</v>
      </c>
      <c r="Y32" s="115">
        <f>+X32*U32</f>
        <v>596250</v>
      </c>
      <c r="Z32" s="149">
        <v>75000</v>
      </c>
      <c r="AA32" s="149">
        <v>4500</v>
      </c>
    </row>
    <row r="33" spans="1:27" ht="27">
      <c r="A33" s="33"/>
      <c r="B33" s="74" t="s">
        <v>91</v>
      </c>
      <c r="C33" s="35"/>
      <c r="D33" s="35"/>
      <c r="E33" s="89" t="s">
        <v>3</v>
      </c>
      <c r="F33" s="96">
        <v>2</v>
      </c>
      <c r="G33" s="96">
        <v>2</v>
      </c>
      <c r="H33" s="96">
        <v>4</v>
      </c>
      <c r="I33" s="96"/>
      <c r="J33" s="96">
        <v>2</v>
      </c>
      <c r="K33" s="96"/>
      <c r="L33" s="6"/>
      <c r="M33" s="6"/>
      <c r="N33" s="6"/>
      <c r="O33" s="6"/>
      <c r="P33" s="6"/>
      <c r="Q33" s="6"/>
      <c r="R33" s="6"/>
      <c r="S33" s="6"/>
      <c r="T33" s="6"/>
      <c r="U33" s="103">
        <f>SUM(F33:T33)</f>
        <v>10</v>
      </c>
      <c r="V33" s="114">
        <f>+ROUND(Z33*mm,0)</f>
        <v>150000</v>
      </c>
      <c r="W33" s="114">
        <f>+ROUND(AA33*mmo,0)</f>
        <v>7000</v>
      </c>
      <c r="X33" s="114">
        <f>+V33+W33</f>
        <v>157000</v>
      </c>
      <c r="Y33" s="115">
        <f>+X33*U33</f>
        <v>1570000</v>
      </c>
      <c r="Z33" s="149">
        <v>120000</v>
      </c>
      <c r="AA33" s="149">
        <v>5600</v>
      </c>
    </row>
    <row r="34" spans="1:27" ht="15">
      <c r="A34" s="33">
        <v>4</v>
      </c>
      <c r="B34" s="126" t="s">
        <v>18</v>
      </c>
      <c r="C34" s="30"/>
      <c r="D34" s="30"/>
      <c r="E34" s="89"/>
      <c r="F34" s="96"/>
      <c r="G34" s="96"/>
      <c r="H34" s="96"/>
      <c r="I34" s="96"/>
      <c r="J34" s="96"/>
      <c r="K34" s="96"/>
      <c r="L34" s="6"/>
      <c r="M34" s="6"/>
      <c r="N34" s="6"/>
      <c r="O34" s="6"/>
      <c r="P34" s="6"/>
      <c r="Q34" s="6"/>
      <c r="R34" s="6"/>
      <c r="S34" s="6"/>
      <c r="T34" s="6"/>
      <c r="U34" s="103"/>
      <c r="V34" s="116"/>
      <c r="W34" s="116"/>
      <c r="X34" s="116"/>
      <c r="Y34" s="117"/>
      <c r="Z34" s="149"/>
      <c r="AA34" s="149"/>
    </row>
    <row r="35" spans="1:30" ht="27">
      <c r="A35" s="33"/>
      <c r="B35" s="127" t="s">
        <v>27</v>
      </c>
      <c r="C35" s="128"/>
      <c r="D35" s="128"/>
      <c r="E35" s="125" t="s">
        <v>3</v>
      </c>
      <c r="F35" s="96"/>
      <c r="G35" s="96"/>
      <c r="H35" s="96"/>
      <c r="I35" s="96"/>
      <c r="J35" s="96"/>
      <c r="K35" s="96"/>
      <c r="L35" s="6"/>
      <c r="M35" s="6"/>
      <c r="N35" s="6"/>
      <c r="O35" s="6"/>
      <c r="P35" s="6"/>
      <c r="Q35" s="6"/>
      <c r="R35" s="6"/>
      <c r="S35" s="6"/>
      <c r="T35" s="6"/>
      <c r="U35" s="103"/>
      <c r="V35" s="114">
        <f>+ROUND(Z35*mm,0)</f>
        <v>75000</v>
      </c>
      <c r="W35" s="114">
        <f>+ROUND(AA35*mmo,0)</f>
        <v>18750</v>
      </c>
      <c r="X35" s="114">
        <f>+V35+W35</f>
        <v>93750</v>
      </c>
      <c r="Y35" s="115">
        <f>+X35*U35</f>
        <v>0</v>
      </c>
      <c r="Z35" s="149">
        <v>60000</v>
      </c>
      <c r="AA35" s="149">
        <v>15000</v>
      </c>
      <c r="AD35" s="7"/>
    </row>
    <row r="36" spans="1:30" ht="15">
      <c r="A36" s="13"/>
      <c r="B36" s="127" t="s">
        <v>41</v>
      </c>
      <c r="C36" s="128"/>
      <c r="D36" s="128"/>
      <c r="E36" s="125" t="s">
        <v>3</v>
      </c>
      <c r="F36" s="96"/>
      <c r="G36" s="96"/>
      <c r="H36" s="96"/>
      <c r="I36" s="96"/>
      <c r="J36" s="96"/>
      <c r="K36" s="96"/>
      <c r="L36" s="6"/>
      <c r="M36" s="6"/>
      <c r="N36" s="6"/>
      <c r="O36" s="6"/>
      <c r="P36" s="6"/>
      <c r="Q36" s="6"/>
      <c r="R36" s="6"/>
      <c r="S36" s="6"/>
      <c r="T36" s="6"/>
      <c r="U36" s="103"/>
      <c r="V36" s="114">
        <f>+ROUND(Z36*mm,0)</f>
        <v>772969</v>
      </c>
      <c r="W36" s="114">
        <f>+ROUND(AA36*mmo,0)</f>
        <v>62500</v>
      </c>
      <c r="X36" s="114">
        <f>+V36+W36</f>
        <v>835469</v>
      </c>
      <c r="Y36" s="115">
        <f>+X36*U36</f>
        <v>0</v>
      </c>
      <c r="Z36" s="149">
        <f>127.5*do</f>
        <v>618375</v>
      </c>
      <c r="AA36" s="149">
        <v>50000</v>
      </c>
      <c r="AD36" s="7"/>
    </row>
    <row r="37" spans="1:27" ht="15">
      <c r="A37" s="13"/>
      <c r="B37" s="72"/>
      <c r="C37" s="34"/>
      <c r="D37" s="34"/>
      <c r="E37" s="85"/>
      <c r="F37" s="96"/>
      <c r="G37" s="96"/>
      <c r="H37" s="96"/>
      <c r="I37" s="96"/>
      <c r="J37" s="96"/>
      <c r="K37" s="96"/>
      <c r="L37" s="6"/>
      <c r="M37" s="6"/>
      <c r="N37" s="6"/>
      <c r="O37" s="6"/>
      <c r="P37" s="6"/>
      <c r="Q37" s="6"/>
      <c r="R37" s="6"/>
      <c r="S37" s="6"/>
      <c r="T37" s="6"/>
      <c r="U37" s="103"/>
      <c r="V37" s="114"/>
      <c r="W37" s="114"/>
      <c r="X37" s="114"/>
      <c r="Y37" s="115"/>
      <c r="Z37" s="149"/>
      <c r="AA37" s="149"/>
    </row>
    <row r="38" spans="1:27" ht="15">
      <c r="A38" s="29">
        <v>5</v>
      </c>
      <c r="B38" s="71" t="s">
        <v>85</v>
      </c>
      <c r="C38" s="30"/>
      <c r="D38" s="30"/>
      <c r="E38" s="85"/>
      <c r="F38" s="96"/>
      <c r="G38" s="96"/>
      <c r="H38" s="96"/>
      <c r="I38" s="96"/>
      <c r="J38" s="96"/>
      <c r="K38" s="96"/>
      <c r="L38" s="6"/>
      <c r="M38" s="6"/>
      <c r="N38" s="6"/>
      <c r="O38" s="6"/>
      <c r="P38" s="6"/>
      <c r="Q38" s="6"/>
      <c r="R38" s="6"/>
      <c r="S38" s="6"/>
      <c r="T38" s="6"/>
      <c r="U38" s="103"/>
      <c r="V38" s="116"/>
      <c r="W38" s="116"/>
      <c r="X38" s="116"/>
      <c r="Y38" s="117"/>
      <c r="Z38" s="149"/>
      <c r="AA38" s="149"/>
    </row>
    <row r="39" spans="1:27" ht="15">
      <c r="A39" s="29"/>
      <c r="B39" s="71" t="s">
        <v>16</v>
      </c>
      <c r="C39" s="30"/>
      <c r="D39" s="30"/>
      <c r="E39" s="85"/>
      <c r="F39" s="96"/>
      <c r="G39" s="96"/>
      <c r="H39" s="96"/>
      <c r="I39" s="96"/>
      <c r="J39" s="96"/>
      <c r="K39" s="96"/>
      <c r="L39" s="6"/>
      <c r="M39" s="6"/>
      <c r="N39" s="6"/>
      <c r="O39" s="6"/>
      <c r="P39" s="6"/>
      <c r="Q39" s="6"/>
      <c r="R39" s="6"/>
      <c r="S39" s="6"/>
      <c r="T39" s="6"/>
      <c r="U39" s="103"/>
      <c r="V39" s="114"/>
      <c r="W39" s="114"/>
      <c r="X39" s="114"/>
      <c r="Y39" s="115"/>
      <c r="Z39" s="149"/>
      <c r="AA39" s="149"/>
    </row>
    <row r="40" spans="1:27" ht="27">
      <c r="A40" s="37"/>
      <c r="B40" s="74" t="s">
        <v>67</v>
      </c>
      <c r="C40" s="57"/>
      <c r="D40" s="57"/>
      <c r="E40" s="89" t="s">
        <v>10</v>
      </c>
      <c r="F40" s="98"/>
      <c r="G40" s="97">
        <v>30</v>
      </c>
      <c r="H40" s="97">
        <v>35</v>
      </c>
      <c r="I40" s="97"/>
      <c r="J40" s="97">
        <v>40</v>
      </c>
      <c r="K40" s="97"/>
      <c r="L40" s="97"/>
      <c r="M40" s="38"/>
      <c r="N40" s="38"/>
      <c r="O40" s="38"/>
      <c r="P40" s="38"/>
      <c r="Q40" s="38"/>
      <c r="R40" s="38"/>
      <c r="S40" s="38"/>
      <c r="T40" s="38"/>
      <c r="U40" s="103">
        <f>SUM(F40:T40)</f>
        <v>105</v>
      </c>
      <c r="V40" s="114">
        <f>+ROUND(Z40*mm,0)</f>
        <v>39406</v>
      </c>
      <c r="W40" s="114">
        <f>+ROUND(AA40*mmo,0)</f>
        <v>4375</v>
      </c>
      <c r="X40" s="114">
        <f>+V40+W40</f>
        <v>43781</v>
      </c>
      <c r="Y40" s="115">
        <f>+X40*U40</f>
        <v>4597005</v>
      </c>
      <c r="Z40" s="149">
        <f>6.5*do</f>
        <v>31525</v>
      </c>
      <c r="AA40" s="149">
        <v>3500</v>
      </c>
    </row>
    <row r="41" spans="1:27" ht="15">
      <c r="A41" s="13"/>
      <c r="B41" s="71" t="s">
        <v>33</v>
      </c>
      <c r="C41" s="30"/>
      <c r="D41" s="30"/>
      <c r="E41" s="89" t="s">
        <v>0</v>
      </c>
      <c r="F41" s="89"/>
      <c r="G41" s="89"/>
      <c r="H41" s="89"/>
      <c r="I41" s="89"/>
      <c r="J41" s="89"/>
      <c r="K41" s="89"/>
      <c r="L41" s="36"/>
      <c r="M41" s="36"/>
      <c r="N41" s="36"/>
      <c r="O41" s="36"/>
      <c r="P41" s="36"/>
      <c r="Q41" s="36"/>
      <c r="R41" s="36"/>
      <c r="S41" s="36"/>
      <c r="T41" s="36"/>
      <c r="U41" s="103"/>
      <c r="V41" s="114"/>
      <c r="W41" s="114"/>
      <c r="X41" s="114" t="s">
        <v>0</v>
      </c>
      <c r="Y41" s="115" t="s">
        <v>0</v>
      </c>
      <c r="Z41" s="149"/>
      <c r="AA41" s="149"/>
    </row>
    <row r="42" spans="1:27" ht="27">
      <c r="A42" s="13"/>
      <c r="B42" s="72" t="s">
        <v>78</v>
      </c>
      <c r="C42" s="34"/>
      <c r="D42" s="34"/>
      <c r="E42" s="89" t="s">
        <v>3</v>
      </c>
      <c r="F42" s="96"/>
      <c r="G42" s="96">
        <v>1</v>
      </c>
      <c r="H42" s="96">
        <v>1</v>
      </c>
      <c r="I42" s="96"/>
      <c r="J42" s="96">
        <v>1</v>
      </c>
      <c r="K42" s="96"/>
      <c r="L42" s="6"/>
      <c r="M42" s="6"/>
      <c r="N42" s="6"/>
      <c r="O42" s="6"/>
      <c r="P42" s="6"/>
      <c r="Q42" s="6"/>
      <c r="R42" s="6"/>
      <c r="S42" s="6"/>
      <c r="T42" s="6"/>
      <c r="U42" s="103">
        <f>SUM(F42:T42)</f>
        <v>3</v>
      </c>
      <c r="V42" s="114">
        <f>+ROUND(Z42*mm,0)</f>
        <v>545625</v>
      </c>
      <c r="W42" s="114">
        <f>+ROUND(AA42*mmo,0)</f>
        <v>18750</v>
      </c>
      <c r="X42" s="114">
        <f>+V42+W42</f>
        <v>564375</v>
      </c>
      <c r="Y42" s="115">
        <f>+X42*U42</f>
        <v>1693125</v>
      </c>
      <c r="Z42" s="149">
        <f>90*do</f>
        <v>436500</v>
      </c>
      <c r="AA42" s="149">
        <v>15000</v>
      </c>
    </row>
    <row r="43" spans="1:27" ht="15">
      <c r="A43" s="13"/>
      <c r="B43" s="72" t="s">
        <v>79</v>
      </c>
      <c r="C43" s="34"/>
      <c r="D43" s="34"/>
      <c r="E43" s="89" t="s">
        <v>3</v>
      </c>
      <c r="F43" s="96">
        <v>1</v>
      </c>
      <c r="G43" s="96"/>
      <c r="H43" s="96"/>
      <c r="I43" s="96"/>
      <c r="J43" s="96"/>
      <c r="K43" s="96"/>
      <c r="L43" s="6"/>
      <c r="M43" s="6"/>
      <c r="N43" s="6"/>
      <c r="O43" s="6"/>
      <c r="P43" s="6"/>
      <c r="Q43" s="6"/>
      <c r="R43" s="6"/>
      <c r="S43" s="6"/>
      <c r="T43" s="6"/>
      <c r="U43" s="103">
        <f>SUM(F43:T43)</f>
        <v>1</v>
      </c>
      <c r="V43" s="114">
        <f>+ROUND(Z43*mm,0)</f>
        <v>914710</v>
      </c>
      <c r="W43" s="114">
        <f>+ROUND(AA43*mmo,0)</f>
        <v>37500</v>
      </c>
      <c r="X43" s="114">
        <f>+V43+W43</f>
        <v>952210</v>
      </c>
      <c r="Y43" s="115">
        <f>+X43*U43</f>
        <v>952210</v>
      </c>
      <c r="Z43" s="149">
        <f>75.44*do*2</f>
        <v>731768</v>
      </c>
      <c r="AA43" s="149">
        <v>30000</v>
      </c>
    </row>
    <row r="44" spans="1:27" ht="15">
      <c r="A44" s="13"/>
      <c r="B44" s="73" t="s">
        <v>17</v>
      </c>
      <c r="C44" s="34"/>
      <c r="D44" s="34"/>
      <c r="E44" s="89"/>
      <c r="F44" s="96"/>
      <c r="G44" s="96"/>
      <c r="H44" s="96"/>
      <c r="I44" s="96"/>
      <c r="J44" s="96"/>
      <c r="K44" s="96"/>
      <c r="L44" s="6"/>
      <c r="M44" s="6"/>
      <c r="N44" s="6"/>
      <c r="O44" s="6"/>
      <c r="P44" s="6"/>
      <c r="Q44" s="6"/>
      <c r="R44" s="6"/>
      <c r="S44" s="6"/>
      <c r="T44" s="6"/>
      <c r="U44" s="103"/>
      <c r="V44" s="114"/>
      <c r="W44" s="114"/>
      <c r="X44" s="114"/>
      <c r="Y44" s="115"/>
      <c r="Z44" s="149"/>
      <c r="AA44" s="149"/>
    </row>
    <row r="45" spans="1:27" ht="15">
      <c r="A45" s="13"/>
      <c r="B45" s="72" t="s">
        <v>73</v>
      </c>
      <c r="C45" s="34"/>
      <c r="D45" s="34"/>
      <c r="E45" s="88" t="s">
        <v>3</v>
      </c>
      <c r="F45" s="96">
        <v>48</v>
      </c>
      <c r="G45" s="96">
        <v>12</v>
      </c>
      <c r="H45" s="96">
        <v>12</v>
      </c>
      <c r="I45" s="96"/>
      <c r="J45" s="96">
        <v>12</v>
      </c>
      <c r="K45" s="96"/>
      <c r="L45" s="6"/>
      <c r="M45" s="6"/>
      <c r="N45" s="6"/>
      <c r="O45" s="6"/>
      <c r="P45" s="6"/>
      <c r="Q45" s="6"/>
      <c r="R45" s="6"/>
      <c r="S45" s="6"/>
      <c r="T45" s="6"/>
      <c r="U45" s="103">
        <f>SUM(F45:T45)</f>
        <v>84</v>
      </c>
      <c r="V45" s="114">
        <f>+ROUND(Z45*mm,0)</f>
        <v>90938</v>
      </c>
      <c r="W45" s="114">
        <f>+ROUND(AA45*mmo,0)</f>
        <v>25000</v>
      </c>
      <c r="X45" s="114">
        <f>+V45+W45</f>
        <v>115938</v>
      </c>
      <c r="Y45" s="115">
        <f>+X45*U45</f>
        <v>9738792</v>
      </c>
      <c r="Z45" s="149">
        <f>15*do</f>
        <v>72750</v>
      </c>
      <c r="AA45" s="149">
        <v>20000</v>
      </c>
    </row>
    <row r="46" spans="1:27" ht="15">
      <c r="A46" s="13"/>
      <c r="B46" s="72" t="s">
        <v>68</v>
      </c>
      <c r="C46" s="34"/>
      <c r="D46" s="34"/>
      <c r="E46" s="88" t="s">
        <v>3</v>
      </c>
      <c r="F46" s="96">
        <v>10</v>
      </c>
      <c r="G46" s="96">
        <v>2</v>
      </c>
      <c r="H46" s="96">
        <v>2</v>
      </c>
      <c r="I46" s="96"/>
      <c r="J46" s="96">
        <v>2</v>
      </c>
      <c r="K46" s="96"/>
      <c r="L46" s="6"/>
      <c r="M46" s="6"/>
      <c r="N46" s="6"/>
      <c r="O46" s="6"/>
      <c r="P46" s="6"/>
      <c r="Q46" s="6"/>
      <c r="R46" s="6"/>
      <c r="S46" s="6"/>
      <c r="T46" s="6"/>
      <c r="U46" s="103">
        <f>SUM(F46:T46)</f>
        <v>16</v>
      </c>
      <c r="V46" s="114">
        <f>+ROUND(Z46*mm,0)</f>
        <v>242500</v>
      </c>
      <c r="W46" s="114">
        <f>+ROUND(AA46*mmo,0)</f>
        <v>1500</v>
      </c>
      <c r="X46" s="114">
        <f>+V46+W46</f>
        <v>244000</v>
      </c>
      <c r="Y46" s="115">
        <f>+X46*U46</f>
        <v>3904000</v>
      </c>
      <c r="Z46" s="149">
        <f>40*do</f>
        <v>194000</v>
      </c>
      <c r="AA46" s="149">
        <v>1200</v>
      </c>
    </row>
    <row r="47" spans="1:27" ht="15">
      <c r="A47" s="13"/>
      <c r="B47" s="72" t="s">
        <v>69</v>
      </c>
      <c r="C47" s="34"/>
      <c r="D47" s="34"/>
      <c r="E47" s="89" t="s">
        <v>3</v>
      </c>
      <c r="F47" s="96"/>
      <c r="G47" s="96"/>
      <c r="H47" s="96"/>
      <c r="I47" s="96"/>
      <c r="J47" s="96"/>
      <c r="K47" s="96"/>
      <c r="L47" s="6"/>
      <c r="M47" s="6"/>
      <c r="N47" s="6"/>
      <c r="O47" s="6"/>
      <c r="P47" s="6"/>
      <c r="Q47" s="6"/>
      <c r="R47" s="6"/>
      <c r="S47" s="6"/>
      <c r="T47" s="6"/>
      <c r="U47" s="103"/>
      <c r="V47" s="114">
        <f>+ROUND(Z47*mm,0)</f>
        <v>254625</v>
      </c>
      <c r="W47" s="114">
        <f>+ROUND(AA47*mmo,0)</f>
        <v>1500</v>
      </c>
      <c r="X47" s="114">
        <f>+V47+W47</f>
        <v>256125</v>
      </c>
      <c r="Y47" s="115">
        <f>+X47*U47</f>
        <v>0</v>
      </c>
      <c r="Z47" s="149">
        <f>42*do</f>
        <v>203700</v>
      </c>
      <c r="AA47" s="149">
        <v>1200</v>
      </c>
    </row>
    <row r="48" spans="1:27" ht="15">
      <c r="A48" s="13"/>
      <c r="B48" s="72" t="s">
        <v>34</v>
      </c>
      <c r="C48" s="34"/>
      <c r="D48" s="34"/>
      <c r="E48" s="89" t="s">
        <v>3</v>
      </c>
      <c r="F48" s="96"/>
      <c r="G48" s="96">
        <v>12</v>
      </c>
      <c r="H48" s="96">
        <v>12</v>
      </c>
      <c r="I48" s="96"/>
      <c r="J48" s="96">
        <v>12</v>
      </c>
      <c r="K48" s="96"/>
      <c r="L48" s="6"/>
      <c r="M48" s="6"/>
      <c r="N48" s="6"/>
      <c r="O48" s="6"/>
      <c r="P48" s="6"/>
      <c r="Q48" s="6"/>
      <c r="R48" s="6"/>
      <c r="S48" s="6"/>
      <c r="T48" s="6"/>
      <c r="U48" s="103">
        <f>SUM(F48:T48)</f>
        <v>36</v>
      </c>
      <c r="V48" s="114">
        <f>+ROUND(Z48*mm,0)</f>
        <v>0</v>
      </c>
      <c r="W48" s="114">
        <f>+ROUND(AA48*mmo,0)</f>
        <v>18750</v>
      </c>
      <c r="X48" s="114">
        <f>+V48+W48</f>
        <v>18750</v>
      </c>
      <c r="Y48" s="115">
        <f>+X48*U48</f>
        <v>675000</v>
      </c>
      <c r="Z48" s="149"/>
      <c r="AA48" s="149">
        <v>15000</v>
      </c>
    </row>
    <row r="49" spans="1:27" ht="15">
      <c r="A49" s="13"/>
      <c r="B49" s="72"/>
      <c r="C49" s="5"/>
      <c r="D49" s="5"/>
      <c r="E49" s="89"/>
      <c r="F49" s="96"/>
      <c r="G49" s="96"/>
      <c r="H49" s="96"/>
      <c r="I49" s="96"/>
      <c r="J49" s="96"/>
      <c r="K49" s="96"/>
      <c r="L49" s="6"/>
      <c r="M49" s="6"/>
      <c r="N49" s="6"/>
      <c r="O49" s="6"/>
      <c r="P49" s="6"/>
      <c r="Q49" s="6"/>
      <c r="R49" s="6"/>
      <c r="S49" s="6"/>
      <c r="T49" s="6"/>
      <c r="U49" s="103"/>
      <c r="V49" s="116"/>
      <c r="W49" s="116"/>
      <c r="X49" s="116"/>
      <c r="Y49" s="117"/>
      <c r="Z49" s="149"/>
      <c r="AA49" s="149"/>
    </row>
    <row r="50" spans="1:27" ht="15">
      <c r="A50" s="29">
        <v>6</v>
      </c>
      <c r="B50" s="71" t="s">
        <v>66</v>
      </c>
      <c r="C50" s="30"/>
      <c r="D50" s="30"/>
      <c r="E50" s="85"/>
      <c r="F50" s="96"/>
      <c r="G50" s="96"/>
      <c r="H50" s="96"/>
      <c r="I50" s="96"/>
      <c r="J50" s="96"/>
      <c r="K50" s="96"/>
      <c r="L50" s="6"/>
      <c r="M50" s="6"/>
      <c r="N50" s="6"/>
      <c r="O50" s="6"/>
      <c r="P50" s="6"/>
      <c r="Q50" s="6"/>
      <c r="R50" s="6"/>
      <c r="S50" s="6"/>
      <c r="T50" s="6"/>
      <c r="U50" s="103"/>
      <c r="V50" s="116"/>
      <c r="W50" s="116"/>
      <c r="X50" s="116"/>
      <c r="Y50" s="117"/>
      <c r="Z50" s="149"/>
      <c r="AA50" s="149"/>
    </row>
    <row r="51" spans="1:27" ht="27">
      <c r="A51" s="37"/>
      <c r="B51" s="74" t="s">
        <v>77</v>
      </c>
      <c r="C51" s="57"/>
      <c r="D51" s="57"/>
      <c r="E51" s="89" t="s">
        <v>10</v>
      </c>
      <c r="F51" s="97"/>
      <c r="G51" s="100"/>
      <c r="H51" s="100"/>
      <c r="I51" s="100"/>
      <c r="J51" s="100"/>
      <c r="K51" s="100"/>
      <c r="L51" s="100"/>
      <c r="M51" s="100"/>
      <c r="N51" s="100"/>
      <c r="O51" s="100"/>
      <c r="P51" s="100">
        <v>805</v>
      </c>
      <c r="Q51" s="38"/>
      <c r="R51" s="38"/>
      <c r="S51" s="38"/>
      <c r="T51" s="38"/>
      <c r="U51" s="103">
        <f>SUM(F51:T51)</f>
        <v>805</v>
      </c>
      <c r="V51" s="114">
        <f aca="true" t="shared" si="0" ref="V51:V59">+ROUND(Z51*mm,0)</f>
        <v>8000</v>
      </c>
      <c r="W51" s="114">
        <f aca="true" t="shared" si="1" ref="W51:W59">+ROUND(AA51*mmo,0)</f>
        <v>1000</v>
      </c>
      <c r="X51" s="114">
        <f aca="true" t="shared" si="2" ref="X51:X59">+V51+W51</f>
        <v>9000</v>
      </c>
      <c r="Y51" s="115">
        <f aca="true" t="shared" si="3" ref="Y51:Y59">+X51*U51</f>
        <v>7245000</v>
      </c>
      <c r="Z51" s="149">
        <v>6400</v>
      </c>
      <c r="AA51" s="149">
        <v>800</v>
      </c>
    </row>
    <row r="52" spans="1:27" ht="27">
      <c r="A52" s="37"/>
      <c r="B52" s="74" t="s">
        <v>70</v>
      </c>
      <c r="C52" s="57"/>
      <c r="D52" s="57"/>
      <c r="E52" s="89" t="s">
        <v>10</v>
      </c>
      <c r="F52" s="97"/>
      <c r="G52" s="100"/>
      <c r="H52" s="100"/>
      <c r="I52" s="100"/>
      <c r="J52" s="100"/>
      <c r="K52" s="100"/>
      <c r="L52" s="100">
        <v>575</v>
      </c>
      <c r="M52" s="100"/>
      <c r="N52" s="100"/>
      <c r="O52" s="100"/>
      <c r="P52" s="100"/>
      <c r="Q52" s="38"/>
      <c r="R52" s="38"/>
      <c r="S52" s="38"/>
      <c r="T52" s="38"/>
      <c r="U52" s="103">
        <f>SUM(F52:T52)</f>
        <v>575</v>
      </c>
      <c r="V52" s="114">
        <f t="shared" si="0"/>
        <v>8000</v>
      </c>
      <c r="W52" s="114">
        <f t="shared" si="1"/>
        <v>1000</v>
      </c>
      <c r="X52" s="114">
        <f t="shared" si="2"/>
        <v>9000</v>
      </c>
      <c r="Y52" s="115">
        <f t="shared" si="3"/>
        <v>5175000</v>
      </c>
      <c r="Z52" s="149">
        <v>6400</v>
      </c>
      <c r="AA52" s="149">
        <v>800</v>
      </c>
    </row>
    <row r="53" spans="1:27" ht="15">
      <c r="A53" s="13"/>
      <c r="B53" s="72" t="s">
        <v>79</v>
      </c>
      <c r="C53" s="34"/>
      <c r="D53" s="34"/>
      <c r="E53" s="88" t="s">
        <v>3</v>
      </c>
      <c r="F53" s="96">
        <v>1</v>
      </c>
      <c r="G53" s="101"/>
      <c r="H53" s="101"/>
      <c r="I53" s="101"/>
      <c r="J53" s="101"/>
      <c r="K53" s="101"/>
      <c r="L53" s="100">
        <v>1</v>
      </c>
      <c r="M53" s="100"/>
      <c r="N53" s="100"/>
      <c r="O53" s="100"/>
      <c r="P53" s="100">
        <v>2</v>
      </c>
      <c r="Q53" s="38"/>
      <c r="R53" s="38"/>
      <c r="S53" s="38"/>
      <c r="T53" s="38"/>
      <c r="U53" s="103">
        <f>SUM(F53:T53)</f>
        <v>4</v>
      </c>
      <c r="V53" s="114">
        <f t="shared" si="0"/>
        <v>457355</v>
      </c>
      <c r="W53" s="114">
        <f t="shared" si="1"/>
        <v>37500</v>
      </c>
      <c r="X53" s="114">
        <f t="shared" si="2"/>
        <v>494855</v>
      </c>
      <c r="Y53" s="115">
        <f t="shared" si="3"/>
        <v>1979420</v>
      </c>
      <c r="Z53" s="149">
        <f>75.44*do</f>
        <v>365884</v>
      </c>
      <c r="AA53" s="149">
        <v>30000</v>
      </c>
    </row>
    <row r="54" spans="1:27" ht="15">
      <c r="A54" s="13"/>
      <c r="B54" s="72" t="s">
        <v>80</v>
      </c>
      <c r="C54" s="34"/>
      <c r="D54" s="34"/>
      <c r="E54" s="88" t="s">
        <v>3</v>
      </c>
      <c r="F54" s="96">
        <v>1</v>
      </c>
      <c r="G54" s="101"/>
      <c r="H54" s="101"/>
      <c r="I54" s="101"/>
      <c r="J54" s="101"/>
      <c r="K54" s="101"/>
      <c r="L54" s="100">
        <v>1</v>
      </c>
      <c r="M54" s="100"/>
      <c r="N54" s="100"/>
      <c r="O54" s="100"/>
      <c r="P54" s="100"/>
      <c r="Q54" s="38"/>
      <c r="R54" s="38"/>
      <c r="S54" s="38"/>
      <c r="T54" s="38"/>
      <c r="U54" s="103">
        <f>SUM(F54:T54)</f>
        <v>2</v>
      </c>
      <c r="V54" s="114">
        <f t="shared" si="0"/>
        <v>457355</v>
      </c>
      <c r="W54" s="114">
        <f t="shared" si="1"/>
        <v>37500</v>
      </c>
      <c r="X54" s="114">
        <f t="shared" si="2"/>
        <v>494855</v>
      </c>
      <c r="Y54" s="115">
        <f t="shared" si="3"/>
        <v>989710</v>
      </c>
      <c r="Z54" s="149">
        <f>75.44*do</f>
        <v>365884</v>
      </c>
      <c r="AA54" s="149">
        <v>30000</v>
      </c>
    </row>
    <row r="55" spans="1:27" ht="27">
      <c r="A55" s="13"/>
      <c r="B55" s="72" t="s">
        <v>78</v>
      </c>
      <c r="C55" s="34"/>
      <c r="D55" s="34"/>
      <c r="E55" s="88" t="s">
        <v>3</v>
      </c>
      <c r="F55" s="96">
        <v>1</v>
      </c>
      <c r="G55" s="101"/>
      <c r="H55" s="101"/>
      <c r="I55" s="101"/>
      <c r="J55" s="101"/>
      <c r="K55" s="101"/>
      <c r="L55" s="100">
        <v>1</v>
      </c>
      <c r="M55" s="100"/>
      <c r="N55" s="100"/>
      <c r="O55" s="100"/>
      <c r="P55" s="100">
        <v>1</v>
      </c>
      <c r="Q55" s="38"/>
      <c r="R55" s="38"/>
      <c r="S55" s="38"/>
      <c r="T55" s="38"/>
      <c r="U55" s="103">
        <f>SUM(F55:T55)</f>
        <v>3</v>
      </c>
      <c r="V55" s="114">
        <f t="shared" si="0"/>
        <v>545625</v>
      </c>
      <c r="W55" s="114">
        <f t="shared" si="1"/>
        <v>135000</v>
      </c>
      <c r="X55" s="114">
        <f t="shared" si="2"/>
        <v>680625</v>
      </c>
      <c r="Y55" s="115">
        <f t="shared" si="3"/>
        <v>2041875</v>
      </c>
      <c r="Z55" s="149">
        <f>90*do</f>
        <v>436500</v>
      </c>
      <c r="AA55" s="149">
        <v>108000</v>
      </c>
    </row>
    <row r="56" spans="1:27" ht="15">
      <c r="A56" s="13"/>
      <c r="B56" s="72" t="s">
        <v>71</v>
      </c>
      <c r="C56" s="34"/>
      <c r="D56" s="34"/>
      <c r="E56" s="88" t="s">
        <v>3</v>
      </c>
      <c r="F56" s="97">
        <v>12</v>
      </c>
      <c r="G56" s="100"/>
      <c r="H56" s="100"/>
      <c r="I56" s="100"/>
      <c r="J56" s="100"/>
      <c r="K56" s="100"/>
      <c r="L56" s="100">
        <v>12</v>
      </c>
      <c r="M56" s="100"/>
      <c r="N56" s="100"/>
      <c r="O56" s="100"/>
      <c r="P56" s="100"/>
      <c r="Q56" s="38"/>
      <c r="R56" s="38"/>
      <c r="S56" s="38"/>
      <c r="T56" s="38"/>
      <c r="U56" s="103">
        <f>SUM(F56:T56)</f>
        <v>24</v>
      </c>
      <c r="V56" s="114">
        <f t="shared" si="0"/>
        <v>36375</v>
      </c>
      <c r="W56" s="114">
        <f t="shared" si="1"/>
        <v>18750</v>
      </c>
      <c r="X56" s="114">
        <f t="shared" si="2"/>
        <v>55125</v>
      </c>
      <c r="Y56" s="115">
        <f t="shared" si="3"/>
        <v>1323000</v>
      </c>
      <c r="Z56" s="149">
        <f>6*do</f>
        <v>29100</v>
      </c>
      <c r="AA56" s="149">
        <v>15000</v>
      </c>
    </row>
    <row r="57" spans="1:27" ht="15">
      <c r="A57" s="13"/>
      <c r="B57" s="72" t="s">
        <v>72</v>
      </c>
      <c r="C57" s="34"/>
      <c r="D57" s="34"/>
      <c r="E57" s="89" t="s">
        <v>3</v>
      </c>
      <c r="F57" s="96">
        <v>12</v>
      </c>
      <c r="G57" s="101"/>
      <c r="H57" s="101"/>
      <c r="I57" s="101"/>
      <c r="J57" s="101"/>
      <c r="K57" s="101"/>
      <c r="L57" s="100">
        <v>12</v>
      </c>
      <c r="M57" s="100"/>
      <c r="N57" s="100"/>
      <c r="O57" s="100"/>
      <c r="P57" s="100">
        <v>24</v>
      </c>
      <c r="Q57" s="38"/>
      <c r="R57" s="38"/>
      <c r="S57" s="38"/>
      <c r="T57" s="38"/>
      <c r="U57" s="103">
        <f>SUM(F57:T57)</f>
        <v>48</v>
      </c>
      <c r="V57" s="114">
        <f t="shared" si="0"/>
        <v>36375</v>
      </c>
      <c r="W57" s="114">
        <f t="shared" si="1"/>
        <v>18750</v>
      </c>
      <c r="X57" s="114">
        <f t="shared" si="2"/>
        <v>55125</v>
      </c>
      <c r="Y57" s="115">
        <f t="shared" si="3"/>
        <v>2646000</v>
      </c>
      <c r="Z57" s="149">
        <f>6*do</f>
        <v>29100</v>
      </c>
      <c r="AA57" s="149">
        <v>15000</v>
      </c>
    </row>
    <row r="58" spans="1:27" ht="15">
      <c r="A58" s="13"/>
      <c r="B58" s="72" t="s">
        <v>81</v>
      </c>
      <c r="C58" s="34"/>
      <c r="D58" s="34"/>
      <c r="E58" s="89" t="s">
        <v>3</v>
      </c>
      <c r="F58" s="96">
        <v>12</v>
      </c>
      <c r="G58" s="101"/>
      <c r="H58" s="101"/>
      <c r="I58" s="101"/>
      <c r="J58" s="101"/>
      <c r="K58" s="101"/>
      <c r="L58" s="100">
        <v>2</v>
      </c>
      <c r="M58" s="100"/>
      <c r="N58" s="100"/>
      <c r="O58" s="100"/>
      <c r="P58" s="100">
        <v>4</v>
      </c>
      <c r="Q58" s="38"/>
      <c r="R58" s="38"/>
      <c r="S58" s="38"/>
      <c r="T58" s="38"/>
      <c r="U58" s="103">
        <f>SUM(F58:T58)</f>
        <v>18</v>
      </c>
      <c r="V58" s="114">
        <f t="shared" si="0"/>
        <v>121250</v>
      </c>
      <c r="W58" s="114">
        <f t="shared" si="1"/>
        <v>5625</v>
      </c>
      <c r="X58" s="114">
        <f t="shared" si="2"/>
        <v>126875</v>
      </c>
      <c r="Y58" s="115">
        <f t="shared" si="3"/>
        <v>2283750</v>
      </c>
      <c r="Z58" s="149">
        <f>20*do</f>
        <v>97000</v>
      </c>
      <c r="AA58" s="149">
        <v>4500</v>
      </c>
    </row>
    <row r="59" spans="1:27" ht="15">
      <c r="A59" s="13"/>
      <c r="B59" s="72" t="s">
        <v>82</v>
      </c>
      <c r="C59" s="34"/>
      <c r="D59" s="34"/>
      <c r="E59" s="89" t="s">
        <v>3</v>
      </c>
      <c r="F59" s="96">
        <v>12</v>
      </c>
      <c r="G59" s="101"/>
      <c r="H59" s="101"/>
      <c r="I59" s="101"/>
      <c r="J59" s="101"/>
      <c r="K59" s="101"/>
      <c r="L59" s="100">
        <v>2</v>
      </c>
      <c r="M59" s="100"/>
      <c r="N59" s="100"/>
      <c r="O59" s="100"/>
      <c r="P59" s="100"/>
      <c r="Q59" s="38"/>
      <c r="R59" s="38"/>
      <c r="S59" s="38"/>
      <c r="T59" s="38"/>
      <c r="U59" s="103">
        <f>SUM(F59:T59)</f>
        <v>14</v>
      </c>
      <c r="V59" s="114">
        <f t="shared" si="0"/>
        <v>121250</v>
      </c>
      <c r="W59" s="114">
        <f t="shared" si="1"/>
        <v>5625</v>
      </c>
      <c r="X59" s="114">
        <f t="shared" si="2"/>
        <v>126875</v>
      </c>
      <c r="Y59" s="115">
        <f t="shared" si="3"/>
        <v>1776250</v>
      </c>
      <c r="Z59" s="149">
        <f>20*do</f>
        <v>97000</v>
      </c>
      <c r="AA59" s="149">
        <v>4500</v>
      </c>
    </row>
    <row r="60" spans="1:27" ht="15">
      <c r="A60" s="13"/>
      <c r="B60" s="72" t="s">
        <v>34</v>
      </c>
      <c r="C60" s="34"/>
      <c r="D60" s="34"/>
      <c r="E60" s="88" t="s">
        <v>3</v>
      </c>
      <c r="F60" s="96">
        <v>12</v>
      </c>
      <c r="G60" s="96"/>
      <c r="H60" s="96"/>
      <c r="I60" s="96"/>
      <c r="J60" s="96"/>
      <c r="K60" s="96"/>
      <c r="L60" s="97">
        <v>12</v>
      </c>
      <c r="M60" s="97"/>
      <c r="N60" s="97"/>
      <c r="O60" s="97"/>
      <c r="P60" s="97">
        <v>24</v>
      </c>
      <c r="Q60" s="38"/>
      <c r="R60" s="38"/>
      <c r="S60" s="38"/>
      <c r="T60" s="38"/>
      <c r="U60" s="103">
        <f>SUM(F60:T60)</f>
        <v>48</v>
      </c>
      <c r="V60" s="114">
        <f>+ROUND(Z60*mm,0)</f>
        <v>0</v>
      </c>
      <c r="W60" s="114">
        <f>+ROUND(AA60*mmo,0)</f>
        <v>25000</v>
      </c>
      <c r="X60" s="114">
        <f>+V60+W60</f>
        <v>25000</v>
      </c>
      <c r="Y60" s="115">
        <f>+X60*U60</f>
        <v>1200000</v>
      </c>
      <c r="Z60" s="149"/>
      <c r="AA60" s="149">
        <v>20000</v>
      </c>
    </row>
    <row r="61" spans="1:30" ht="15">
      <c r="A61" s="33"/>
      <c r="B61" s="74"/>
      <c r="C61" s="57"/>
      <c r="D61" s="57"/>
      <c r="E61" s="89"/>
      <c r="F61" s="96"/>
      <c r="G61" s="96"/>
      <c r="H61" s="96"/>
      <c r="I61" s="96"/>
      <c r="J61" s="96"/>
      <c r="K61" s="96"/>
      <c r="L61" s="97"/>
      <c r="M61" s="97"/>
      <c r="N61" s="97"/>
      <c r="O61" s="97"/>
      <c r="P61" s="97"/>
      <c r="Q61" s="38"/>
      <c r="R61" s="38"/>
      <c r="S61" s="38"/>
      <c r="T61" s="38"/>
      <c r="U61" s="103"/>
      <c r="V61" s="114"/>
      <c r="W61" s="114"/>
      <c r="X61" s="114"/>
      <c r="Y61" s="115"/>
      <c r="Z61" s="149"/>
      <c r="AA61" s="149"/>
      <c r="AD61" s="7"/>
    </row>
    <row r="62" spans="1:30" ht="15">
      <c r="A62" s="64">
        <v>7</v>
      </c>
      <c r="B62" s="75" t="s">
        <v>94</v>
      </c>
      <c r="C62" s="65"/>
      <c r="D62" s="65"/>
      <c r="E62" s="90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66"/>
      <c r="R62" s="66"/>
      <c r="S62" s="66"/>
      <c r="T62" s="66"/>
      <c r="U62" s="103"/>
      <c r="V62" s="114"/>
      <c r="W62" s="114"/>
      <c r="X62" s="114"/>
      <c r="Y62" s="115"/>
      <c r="Z62" s="149"/>
      <c r="AA62" s="149"/>
      <c r="AD62" s="7"/>
    </row>
    <row r="63" spans="1:30" ht="27">
      <c r="A63" s="64"/>
      <c r="B63" s="152" t="s">
        <v>98</v>
      </c>
      <c r="C63" s="65"/>
      <c r="D63" s="65"/>
      <c r="E63" s="89" t="s">
        <v>3</v>
      </c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66"/>
      <c r="R63" s="66"/>
      <c r="S63" s="66"/>
      <c r="T63" s="66"/>
      <c r="U63" s="103">
        <f>SUM(F63:T63)</f>
        <v>0</v>
      </c>
      <c r="V63" s="114">
        <f>+ROUND(Z63*mm,0)</f>
        <v>118750</v>
      </c>
      <c r="W63" s="114">
        <f>+ROUND(AA63*mmo,0)</f>
        <v>18750</v>
      </c>
      <c r="X63" s="114">
        <f>+V63+W63</f>
        <v>137500</v>
      </c>
      <c r="Y63" s="115">
        <f>+X63*U63</f>
        <v>0</v>
      </c>
      <c r="Z63" s="149">
        <v>95000</v>
      </c>
      <c r="AA63" s="149">
        <v>15000</v>
      </c>
      <c r="AD63" s="7"/>
    </row>
    <row r="64" spans="1:30" ht="15">
      <c r="A64" s="64"/>
      <c r="B64" s="152" t="s">
        <v>97</v>
      </c>
      <c r="C64" s="65"/>
      <c r="D64" s="65"/>
      <c r="E64" s="88" t="s">
        <v>3</v>
      </c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66"/>
      <c r="R64" s="66"/>
      <c r="S64" s="66"/>
      <c r="T64" s="66"/>
      <c r="U64" s="103">
        <f>SUM(F64:T64)</f>
        <v>0</v>
      </c>
      <c r="V64" s="114">
        <f>+ROUND(Z64*mm,0)</f>
        <v>100000</v>
      </c>
      <c r="W64" s="114">
        <f>+ROUND(AA64*mmo,0)</f>
        <v>18750</v>
      </c>
      <c r="X64" s="114">
        <f>+V64+W64</f>
        <v>118750</v>
      </c>
      <c r="Y64" s="115">
        <f>+X64*U64</f>
        <v>0</v>
      </c>
      <c r="Z64" s="149">
        <v>80000</v>
      </c>
      <c r="AA64" s="149">
        <v>15000</v>
      </c>
      <c r="AD64" s="7"/>
    </row>
    <row r="65" spans="1:30" ht="15">
      <c r="A65" s="64"/>
      <c r="B65" s="152" t="s">
        <v>96</v>
      </c>
      <c r="C65" s="65"/>
      <c r="D65" s="65"/>
      <c r="E65" s="90" t="s">
        <v>10</v>
      </c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66"/>
      <c r="R65" s="66"/>
      <c r="S65" s="66"/>
      <c r="T65" s="66"/>
      <c r="U65" s="103">
        <f>SUM(F65:T65)</f>
        <v>0</v>
      </c>
      <c r="V65" s="114">
        <f>+ROUND(Z65*mm,0)</f>
        <v>9625</v>
      </c>
      <c r="W65" s="114">
        <f>+ROUND(AA65*mmo,0)</f>
        <v>1875</v>
      </c>
      <c r="X65" s="114">
        <f>+V65+W65</f>
        <v>11500</v>
      </c>
      <c r="Y65" s="115">
        <f>+X65*U65</f>
        <v>0</v>
      </c>
      <c r="Z65" s="149">
        <v>7700</v>
      </c>
      <c r="AA65" s="149">
        <v>1500</v>
      </c>
      <c r="AD65" s="7"/>
    </row>
    <row r="66" spans="1:30" ht="15">
      <c r="A66" s="64"/>
      <c r="B66" s="75"/>
      <c r="C66" s="65"/>
      <c r="D66" s="65"/>
      <c r="E66" s="90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66"/>
      <c r="R66" s="66"/>
      <c r="S66" s="66"/>
      <c r="T66" s="66"/>
      <c r="U66" s="103"/>
      <c r="V66" s="118"/>
      <c r="W66" s="118"/>
      <c r="X66" s="118"/>
      <c r="Y66" s="119"/>
      <c r="Z66" s="149"/>
      <c r="AA66" s="149"/>
      <c r="AD66" s="7"/>
    </row>
    <row r="67" spans="1:27" ht="15">
      <c r="A67" s="14">
        <v>8</v>
      </c>
      <c r="B67" s="75" t="s">
        <v>37</v>
      </c>
      <c r="C67" s="39"/>
      <c r="D67" s="39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40"/>
      <c r="R67" s="40"/>
      <c r="S67" s="40"/>
      <c r="T67" s="40"/>
      <c r="U67" s="103"/>
      <c r="V67" s="120"/>
      <c r="W67" s="120"/>
      <c r="X67" s="120"/>
      <c r="Y67" s="121"/>
      <c r="Z67" s="149"/>
      <c r="AA67" s="149"/>
    </row>
    <row r="68" spans="1:27" ht="15">
      <c r="A68" s="41"/>
      <c r="B68" s="76" t="s">
        <v>43</v>
      </c>
      <c r="C68" s="58"/>
      <c r="D68" s="58"/>
      <c r="E68" s="85" t="s">
        <v>3</v>
      </c>
      <c r="F68" s="96">
        <f>+F11</f>
        <v>70</v>
      </c>
      <c r="G68" s="96">
        <f>+G11</f>
        <v>65</v>
      </c>
      <c r="H68" s="96">
        <f>+H11</f>
        <v>80</v>
      </c>
      <c r="I68" s="96"/>
      <c r="J68" s="96">
        <f>+J11</f>
        <v>66</v>
      </c>
      <c r="K68" s="96"/>
      <c r="L68" s="96"/>
      <c r="M68" s="96"/>
      <c r="N68" s="96"/>
      <c r="O68" s="96"/>
      <c r="P68" s="96"/>
      <c r="Q68" s="6"/>
      <c r="R68" s="6"/>
      <c r="S68" s="6"/>
      <c r="T68" s="6"/>
      <c r="U68" s="103">
        <f>SUM(F68:T68)</f>
        <v>281</v>
      </c>
      <c r="V68" s="114">
        <f>+ROUND(Z68*mm,0)</f>
        <v>9375</v>
      </c>
      <c r="W68" s="114">
        <f>+ROUND(AA68*mmo,0)</f>
        <v>2500</v>
      </c>
      <c r="X68" s="114">
        <f>+V68+W68</f>
        <v>11875</v>
      </c>
      <c r="Y68" s="115">
        <f>+X68*U68</f>
        <v>3336875</v>
      </c>
      <c r="Z68" s="149">
        <v>7500</v>
      </c>
      <c r="AA68" s="149">
        <v>2000</v>
      </c>
    </row>
    <row r="69" spans="1:27" ht="15">
      <c r="A69" s="42"/>
      <c r="B69" s="77" t="s">
        <v>39</v>
      </c>
      <c r="C69" s="45"/>
      <c r="D69" s="45"/>
      <c r="E69" s="92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6"/>
      <c r="R69" s="6"/>
      <c r="S69" s="6"/>
      <c r="T69" s="6"/>
      <c r="U69" s="103"/>
      <c r="V69" s="114"/>
      <c r="W69" s="114"/>
      <c r="X69" s="114"/>
      <c r="Y69" s="115"/>
      <c r="Z69" s="149"/>
      <c r="AA69" s="149"/>
    </row>
    <row r="70" spans="1:27" ht="27">
      <c r="A70" s="44"/>
      <c r="B70" s="78" t="s">
        <v>86</v>
      </c>
      <c r="C70" s="59"/>
      <c r="D70" s="59"/>
      <c r="E70" s="93" t="s">
        <v>10</v>
      </c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6"/>
      <c r="R70" s="6"/>
      <c r="S70" s="6"/>
      <c r="T70" s="6"/>
      <c r="U70" s="103">
        <f>SUM(F70:T70)</f>
        <v>0</v>
      </c>
      <c r="V70" s="114">
        <f>+ROUND(Z70*mm,0)</f>
        <v>90000</v>
      </c>
      <c r="W70" s="114">
        <f>+ROUND(AA70*mmo,0)</f>
        <v>20250</v>
      </c>
      <c r="X70" s="114">
        <f>+V70+W70</f>
        <v>110250</v>
      </c>
      <c r="Y70" s="115">
        <f>+X70*U70</f>
        <v>0</v>
      </c>
      <c r="Z70" s="149">
        <f>60000*1.2</f>
        <v>72000</v>
      </c>
      <c r="AA70" s="149">
        <v>16200</v>
      </c>
    </row>
    <row r="71" spans="1:27" ht="27">
      <c r="A71" s="44"/>
      <c r="B71" s="78" t="s">
        <v>83</v>
      </c>
      <c r="C71" s="59"/>
      <c r="D71" s="59"/>
      <c r="E71" s="93" t="s">
        <v>10</v>
      </c>
      <c r="F71" s="96">
        <v>90</v>
      </c>
      <c r="G71" s="96">
        <v>90</v>
      </c>
      <c r="H71" s="96">
        <v>90</v>
      </c>
      <c r="I71" s="96"/>
      <c r="J71" s="96">
        <v>90</v>
      </c>
      <c r="K71" s="96"/>
      <c r="L71" s="96"/>
      <c r="M71" s="96"/>
      <c r="N71" s="96"/>
      <c r="O71" s="96"/>
      <c r="P71" s="96"/>
      <c r="Q71" s="6"/>
      <c r="R71" s="6"/>
      <c r="S71" s="6"/>
      <c r="T71" s="6"/>
      <c r="U71" s="103">
        <f>SUM(F71:T71)</f>
        <v>360</v>
      </c>
      <c r="V71" s="114">
        <f>+ROUND(Z71*mm,0)</f>
        <v>75000</v>
      </c>
      <c r="W71" s="114">
        <f>+ROUND(AA71*mmo,0)</f>
        <v>20250</v>
      </c>
      <c r="X71" s="114">
        <f>+V71+W71</f>
        <v>95250</v>
      </c>
      <c r="Y71" s="115">
        <f>+X71*U71</f>
        <v>34290000</v>
      </c>
      <c r="Z71" s="149">
        <f>50000*1.2</f>
        <v>60000</v>
      </c>
      <c r="AA71" s="149">
        <v>16200</v>
      </c>
    </row>
    <row r="72" spans="1:27" ht="27">
      <c r="A72" s="44"/>
      <c r="B72" s="78" t="s">
        <v>49</v>
      </c>
      <c r="C72" s="59"/>
      <c r="D72" s="59"/>
      <c r="E72" s="93" t="s">
        <v>10</v>
      </c>
      <c r="F72" s="96">
        <v>100</v>
      </c>
      <c r="G72" s="96">
        <v>100</v>
      </c>
      <c r="H72" s="96">
        <v>100</v>
      </c>
      <c r="I72" s="96"/>
      <c r="J72" s="96">
        <v>100</v>
      </c>
      <c r="K72" s="96"/>
      <c r="L72" s="96"/>
      <c r="M72" s="96"/>
      <c r="N72" s="96"/>
      <c r="O72" s="96"/>
      <c r="P72" s="96"/>
      <c r="Q72" s="6"/>
      <c r="R72" s="6"/>
      <c r="S72" s="6"/>
      <c r="T72" s="6"/>
      <c r="U72" s="103">
        <f>SUM(F72:T72)</f>
        <v>400</v>
      </c>
      <c r="V72" s="114">
        <f>+ROUND(Z72*mm,0)</f>
        <v>16667</v>
      </c>
      <c r="W72" s="114">
        <f>+ROUND(AA72*mmo,0)</f>
        <v>8125</v>
      </c>
      <c r="X72" s="114">
        <f>+V72+W72</f>
        <v>24792</v>
      </c>
      <c r="Y72" s="115">
        <f>+X72*U72</f>
        <v>9916800</v>
      </c>
      <c r="Z72" s="149">
        <f>32000/2.4</f>
        <v>13333.333333333334</v>
      </c>
      <c r="AA72" s="149">
        <v>6500</v>
      </c>
    </row>
    <row r="73" spans="1:27" ht="15">
      <c r="A73" s="42"/>
      <c r="B73" s="79" t="s">
        <v>11</v>
      </c>
      <c r="C73" s="60"/>
      <c r="D73" s="60"/>
      <c r="E73" s="92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6"/>
      <c r="R73" s="6"/>
      <c r="S73" s="6"/>
      <c r="T73" s="6"/>
      <c r="U73" s="103"/>
      <c r="V73" s="114"/>
      <c r="W73" s="114"/>
      <c r="X73" s="114"/>
      <c r="Y73" s="115"/>
      <c r="Z73" s="149"/>
      <c r="AA73" s="149"/>
    </row>
    <row r="74" spans="1:27" ht="15">
      <c r="A74" s="41"/>
      <c r="B74" s="80" t="s">
        <v>12</v>
      </c>
      <c r="C74" s="58"/>
      <c r="D74" s="58"/>
      <c r="E74" s="94" t="s">
        <v>3</v>
      </c>
      <c r="F74" s="96">
        <v>4</v>
      </c>
      <c r="G74" s="96">
        <v>4</v>
      </c>
      <c r="H74" s="96">
        <v>4</v>
      </c>
      <c r="I74" s="96"/>
      <c r="J74" s="96">
        <v>4</v>
      </c>
      <c r="K74" s="96"/>
      <c r="L74" s="96"/>
      <c r="M74" s="96"/>
      <c r="N74" s="96"/>
      <c r="O74" s="96"/>
      <c r="P74" s="96"/>
      <c r="Q74" s="6"/>
      <c r="R74" s="6"/>
      <c r="S74" s="6"/>
      <c r="T74" s="6"/>
      <c r="U74" s="103">
        <f>SUM(F74:T74)</f>
        <v>16</v>
      </c>
      <c r="V74" s="114">
        <f>+ROUND(Z74*mm,0)</f>
        <v>18750</v>
      </c>
      <c r="W74" s="114">
        <f>+ROUND(AA74*mmo,0)</f>
        <v>6250</v>
      </c>
      <c r="X74" s="114">
        <f>+V74+W74</f>
        <v>25000</v>
      </c>
      <c r="Y74" s="115">
        <f>+X74*U74</f>
        <v>400000</v>
      </c>
      <c r="Z74" s="149">
        <v>15000</v>
      </c>
      <c r="AA74" s="149">
        <v>5000</v>
      </c>
    </row>
    <row r="75" spans="1:27" ht="15">
      <c r="A75" s="41"/>
      <c r="B75" s="81" t="s">
        <v>13</v>
      </c>
      <c r="C75" s="61"/>
      <c r="D75" s="61"/>
      <c r="E75" s="94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6"/>
      <c r="R75" s="6"/>
      <c r="S75" s="6"/>
      <c r="T75" s="6"/>
      <c r="U75" s="103"/>
      <c r="V75" s="114"/>
      <c r="W75" s="114"/>
      <c r="X75" s="114"/>
      <c r="Y75" s="115"/>
      <c r="Z75" s="149"/>
      <c r="AA75" s="149"/>
    </row>
    <row r="76" spans="1:27" ht="27">
      <c r="A76" s="42"/>
      <c r="B76" s="82" t="s">
        <v>42</v>
      </c>
      <c r="C76" s="62"/>
      <c r="D76" s="62"/>
      <c r="E76" s="92" t="s">
        <v>10</v>
      </c>
      <c r="F76" s="96">
        <v>30</v>
      </c>
      <c r="G76" s="96">
        <v>30</v>
      </c>
      <c r="H76" s="96">
        <v>30</v>
      </c>
      <c r="I76" s="96"/>
      <c r="J76" s="96">
        <v>30</v>
      </c>
      <c r="K76" s="96"/>
      <c r="L76" s="96"/>
      <c r="M76" s="96"/>
      <c r="N76" s="96"/>
      <c r="O76" s="96"/>
      <c r="P76" s="96"/>
      <c r="Q76" s="6"/>
      <c r="R76" s="6"/>
      <c r="S76" s="6"/>
      <c r="T76" s="6"/>
      <c r="U76" s="103">
        <f>SUM(F76:T76)</f>
        <v>120</v>
      </c>
      <c r="V76" s="114">
        <f>+ROUND(Z76*mm,0)</f>
        <v>13125</v>
      </c>
      <c r="W76" s="114">
        <f>+ROUND(AA76*mmo,0)</f>
        <v>7475</v>
      </c>
      <c r="X76" s="114">
        <f>+V76+W76</f>
        <v>20600</v>
      </c>
      <c r="Y76" s="115">
        <f>+X76*U76</f>
        <v>2472000</v>
      </c>
      <c r="Z76" s="149">
        <v>10500</v>
      </c>
      <c r="AA76" s="149">
        <v>5980</v>
      </c>
    </row>
    <row r="77" spans="1:27" ht="15">
      <c r="A77" s="41"/>
      <c r="B77" s="81" t="s">
        <v>53</v>
      </c>
      <c r="C77" s="61"/>
      <c r="D77" s="61"/>
      <c r="E77" s="94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103">
        <f>SUM(F77:T77)</f>
        <v>0</v>
      </c>
      <c r="V77" s="114"/>
      <c r="W77" s="114"/>
      <c r="X77" s="114"/>
      <c r="Y77" s="115"/>
      <c r="Z77" s="149"/>
      <c r="AA77" s="149"/>
    </row>
    <row r="78" spans="1:27" ht="15" customHeight="1">
      <c r="A78" s="42"/>
      <c r="B78" s="78" t="s">
        <v>54</v>
      </c>
      <c r="C78" s="62"/>
      <c r="D78" s="62"/>
      <c r="E78" s="92" t="s">
        <v>10</v>
      </c>
      <c r="F78" s="96">
        <v>20</v>
      </c>
      <c r="G78" s="96">
        <v>20</v>
      </c>
      <c r="H78" s="96">
        <v>20</v>
      </c>
      <c r="I78" s="96"/>
      <c r="J78" s="96">
        <v>20</v>
      </c>
      <c r="K78" s="96"/>
      <c r="L78" s="6"/>
      <c r="M78" s="6"/>
      <c r="N78" s="6"/>
      <c r="O78" s="6"/>
      <c r="P78" s="6"/>
      <c r="Q78" s="6"/>
      <c r="R78" s="6"/>
      <c r="S78" s="6"/>
      <c r="T78" s="6"/>
      <c r="U78" s="103">
        <f>SUM(F78:T78)</f>
        <v>80</v>
      </c>
      <c r="V78" s="114">
        <f>+ROUND(Z78*mm,0)</f>
        <v>15000</v>
      </c>
      <c r="W78" s="114">
        <f>+ROUND(AA78*mmo,0)</f>
        <v>7475</v>
      </c>
      <c r="X78" s="114">
        <f>+V78+W78</f>
        <v>22475</v>
      </c>
      <c r="Y78" s="115">
        <f>+X78*U78</f>
        <v>1798000</v>
      </c>
      <c r="Z78" s="149">
        <v>12000</v>
      </c>
      <c r="AA78" s="149">
        <v>5980</v>
      </c>
    </row>
    <row r="79" spans="1:27" ht="15">
      <c r="A79" s="42"/>
      <c r="B79" s="82"/>
      <c r="C79" s="62"/>
      <c r="D79" s="62"/>
      <c r="E79" s="92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103">
        <f>SUM(F79:T79)</f>
        <v>0</v>
      </c>
      <c r="V79" s="114"/>
      <c r="W79" s="114"/>
      <c r="X79" s="114"/>
      <c r="Y79" s="115"/>
      <c r="Z79" s="149"/>
      <c r="AA79" s="149"/>
    </row>
    <row r="80" spans="1:27" ht="15">
      <c r="A80" s="42">
        <v>8</v>
      </c>
      <c r="B80" s="77" t="s">
        <v>38</v>
      </c>
      <c r="C80" s="43"/>
      <c r="D80" s="43"/>
      <c r="E80" s="92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103">
        <f>SUM(F80:T80)</f>
        <v>0</v>
      </c>
      <c r="V80" s="116"/>
      <c r="W80" s="116"/>
      <c r="X80" s="116"/>
      <c r="Y80" s="117"/>
      <c r="Z80" s="149"/>
      <c r="AA80" s="149"/>
    </row>
    <row r="81" spans="1:27" ht="15.75" thickBot="1">
      <c r="A81" s="46"/>
      <c r="B81" s="83" t="s">
        <v>36</v>
      </c>
      <c r="C81" s="63"/>
      <c r="D81" s="63"/>
      <c r="E81" s="95" t="s">
        <v>35</v>
      </c>
      <c r="F81" s="102">
        <v>1</v>
      </c>
      <c r="G81" s="102">
        <v>1</v>
      </c>
      <c r="H81" s="102">
        <v>1</v>
      </c>
      <c r="I81" s="102"/>
      <c r="J81" s="102">
        <v>1</v>
      </c>
      <c r="K81" s="102"/>
      <c r="L81" s="47"/>
      <c r="M81" s="47"/>
      <c r="N81" s="47"/>
      <c r="O81" s="47"/>
      <c r="P81" s="47"/>
      <c r="Q81" s="47"/>
      <c r="R81" s="47"/>
      <c r="S81" s="47"/>
      <c r="T81" s="47"/>
      <c r="U81" s="103">
        <f>SUM(F81:T81)</f>
        <v>4</v>
      </c>
      <c r="V81" s="122">
        <f>+ROUND(Z81*mm,0)</f>
        <v>62500</v>
      </c>
      <c r="W81" s="122">
        <f>+ROUND(AA81*mmo,0)</f>
        <v>43750</v>
      </c>
      <c r="X81" s="122">
        <f>+V81+W81</f>
        <v>106250</v>
      </c>
      <c r="Y81" s="123">
        <f>+X81*U81</f>
        <v>425000</v>
      </c>
      <c r="Z81" s="149">
        <v>50000</v>
      </c>
      <c r="AA81" s="149">
        <v>35000</v>
      </c>
    </row>
    <row r="82" spans="1:28" ht="31.5" thickBot="1">
      <c r="A82" s="48"/>
      <c r="B82" s="54" t="s">
        <v>14</v>
      </c>
      <c r="C82" s="49"/>
      <c r="D82" s="49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1"/>
      <c r="W82" s="131" t="s">
        <v>0</v>
      </c>
      <c r="X82" s="132"/>
      <c r="Y82" s="53">
        <f>SUM(Y10:Y81)</f>
        <v>294216687</v>
      </c>
      <c r="Z82" s="151"/>
      <c r="AA82" s="151"/>
      <c r="AB82" s="151"/>
    </row>
    <row r="83" spans="1:25" ht="15.75" thickBot="1">
      <c r="A83" s="48"/>
      <c r="B83" s="54" t="s">
        <v>89</v>
      </c>
      <c r="C83" s="49"/>
      <c r="D83" s="49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1"/>
      <c r="W83" s="131" t="s">
        <v>0</v>
      </c>
      <c r="X83" s="132"/>
      <c r="Y83" s="53">
        <f>+Y82*0.19</f>
        <v>55901170.53</v>
      </c>
    </row>
    <row r="84" spans="1:25" ht="21.75" customHeight="1" thickBot="1">
      <c r="A84" s="48"/>
      <c r="B84" s="54" t="s">
        <v>45</v>
      </c>
      <c r="C84" s="49"/>
      <c r="D84" s="49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1"/>
      <c r="W84" s="131" t="s">
        <v>0</v>
      </c>
      <c r="X84" s="132"/>
      <c r="Y84" s="53">
        <f>+Y82+Y83</f>
        <v>350117857.53</v>
      </c>
    </row>
    <row r="85" spans="1:25" ht="12.75">
      <c r="A85" s="17"/>
      <c r="B85" s="23"/>
      <c r="C85" s="23"/>
      <c r="D85" s="23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17"/>
      <c r="V85" s="17"/>
      <c r="W85" s="17"/>
      <c r="X85" s="18"/>
      <c r="Y85" s="18"/>
    </row>
    <row r="86" spans="1:25" ht="12.75">
      <c r="A86" s="17"/>
      <c r="B86" s="23"/>
      <c r="C86" s="23"/>
      <c r="D86" s="23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17"/>
      <c r="V86" s="17"/>
      <c r="W86" s="17"/>
      <c r="X86" s="18"/>
      <c r="Y86" s="18"/>
    </row>
    <row r="87" spans="1:25" ht="12.75">
      <c r="A87" s="17"/>
      <c r="B87" s="23"/>
      <c r="C87" s="23"/>
      <c r="D87" s="23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17"/>
      <c r="V87" s="17"/>
      <c r="W87" s="17"/>
      <c r="X87" s="18"/>
      <c r="Y87" s="18"/>
    </row>
    <row r="88" spans="1:25" ht="12.75">
      <c r="A88" s="17"/>
      <c r="B88" s="23"/>
      <c r="C88" s="23"/>
      <c r="D88" s="23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17"/>
      <c r="V88" s="17"/>
      <c r="W88" s="17"/>
      <c r="X88" s="18"/>
      <c r="Y88" s="18"/>
    </row>
    <row r="89" spans="1:25" ht="12.75">
      <c r="A89" s="17"/>
      <c r="B89" s="23"/>
      <c r="C89" s="23"/>
      <c r="D89" s="23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17"/>
      <c r="V89" s="17"/>
      <c r="W89" s="17"/>
      <c r="X89" s="18"/>
      <c r="Y89" s="18"/>
    </row>
    <row r="90" spans="1:25" ht="12.75">
      <c r="A90" s="17"/>
      <c r="B90" s="23"/>
      <c r="C90" s="23"/>
      <c r="D90" s="23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17"/>
      <c r="V90" s="17"/>
      <c r="W90" s="17"/>
      <c r="X90" s="18"/>
      <c r="Y90" s="18"/>
    </row>
    <row r="91" spans="1:25" ht="12.75">
      <c r="A91" s="17"/>
      <c r="B91" s="23"/>
      <c r="C91" s="23"/>
      <c r="D91" s="23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17"/>
      <c r="V91" s="17"/>
      <c r="W91" s="17"/>
      <c r="X91" s="18"/>
      <c r="Y91" s="18"/>
    </row>
    <row r="92" spans="1:25" ht="12.75">
      <c r="A92" s="17"/>
      <c r="B92" s="23"/>
      <c r="C92" s="23"/>
      <c r="D92" s="23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17"/>
      <c r="V92" s="17"/>
      <c r="W92" s="17"/>
      <c r="X92" s="18"/>
      <c r="Y92" s="18"/>
    </row>
    <row r="93" spans="1:25" ht="12.75">
      <c r="A93" s="17"/>
      <c r="B93" s="23"/>
      <c r="C93" s="23"/>
      <c r="D93" s="23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17"/>
      <c r="V93" s="17"/>
      <c r="W93" s="17"/>
      <c r="X93" s="18"/>
      <c r="Y93" s="18"/>
    </row>
    <row r="94" spans="1:25" ht="12.75">
      <c r="A94" s="17"/>
      <c r="B94" s="23"/>
      <c r="C94" s="23"/>
      <c r="D94" s="2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17"/>
      <c r="V94" s="17"/>
      <c r="W94" s="17"/>
      <c r="X94" s="18"/>
      <c r="Y94" s="18"/>
    </row>
    <row r="95" spans="1:25" ht="12.75">
      <c r="A95" s="17"/>
      <c r="B95" s="23"/>
      <c r="C95" s="23"/>
      <c r="D95" s="23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17"/>
      <c r="V95" s="17"/>
      <c r="W95" s="17"/>
      <c r="X95" s="18"/>
      <c r="Y95" s="18"/>
    </row>
  </sheetData>
  <sheetProtection/>
  <mergeCells count="8">
    <mergeCell ref="W84:X84"/>
    <mergeCell ref="W83:X83"/>
    <mergeCell ref="A1:E1"/>
    <mergeCell ref="W82:X82"/>
    <mergeCell ref="F1:Y1"/>
    <mergeCell ref="P8:T8"/>
    <mergeCell ref="F8:J8"/>
    <mergeCell ref="K8:O8"/>
  </mergeCells>
  <printOptions/>
  <pageMargins left="0.4724409448818898" right="0.4" top="0.63" bottom="1" header="0" footer="0"/>
  <pageSetup fitToHeight="2" fitToWidth="1" horizontalDpi="300" verticalDpi="300" orientation="landscape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D13" sqref="D13"/>
    </sheetView>
  </sheetViews>
  <sheetFormatPr defaultColWidth="11.421875" defaultRowHeight="12.75"/>
  <sheetData>
    <row r="1" spans="1:2" ht="12.75">
      <c r="A1" t="s">
        <v>19</v>
      </c>
      <c r="B1">
        <f>1/0.8</f>
        <v>1.25</v>
      </c>
    </row>
    <row r="2" spans="1:2" ht="12.75">
      <c r="A2" t="s">
        <v>20</v>
      </c>
      <c r="B2">
        <f>1/0.8</f>
        <v>1.25</v>
      </c>
    </row>
    <row r="3" spans="1:2" ht="12.75">
      <c r="A3" t="s">
        <v>21</v>
      </c>
      <c r="B3">
        <v>4850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COMWARE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Herrera</dc:creator>
  <cp:keywords/>
  <dc:description/>
  <cp:lastModifiedBy>Jairo Hernández Gutiérrez</cp:lastModifiedBy>
  <cp:lastPrinted>2005-03-07T21:18:29Z</cp:lastPrinted>
  <dcterms:created xsi:type="dcterms:W3CDTF">2004-03-17T15:16:26Z</dcterms:created>
  <dcterms:modified xsi:type="dcterms:W3CDTF">2022-10-28T17:08:57Z</dcterms:modified>
  <cp:category/>
  <cp:version/>
  <cp:contentType/>
  <cp:contentStatus/>
</cp:coreProperties>
</file>